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35" windowWidth="11955" windowHeight="6675" activeTab="0"/>
  </bookViews>
  <sheets>
    <sheet name="Feuil1" sheetId="1" r:id="rId1"/>
    <sheet name="Feuil2" sheetId="2" r:id="rId2"/>
    <sheet name="Feuil3" sheetId="3" r:id="rId3"/>
  </sheets>
  <definedNames>
    <definedName name="aA">'Feuil1'!$H$20</definedName>
    <definedName name="aB">'Feuil1'!$H$21</definedName>
    <definedName name="alpha">'Feuil1'!$E$24</definedName>
    <definedName name="Astocke">'Feuil1'!$B$20</definedName>
    <definedName name="bA">'Feuil1'!$K$20</definedName>
    <definedName name="bB">'Feuil1'!$K$21</definedName>
    <definedName name="Bstocke">'Feuil1'!$B$21</definedName>
    <definedName name="Cstocke">'Feuil1'!$B$22</definedName>
    <definedName name="Débit">'Feuil1'!$B$15</definedName>
    <definedName name="Debopt">'Feuil1'!$B$18</definedName>
    <definedName name="dint">'Feuil1'!$B$13</definedName>
    <definedName name="dpart">'Feuil1'!$B$14</definedName>
    <definedName name="hopt">'Feuil1'!$B$19</definedName>
    <definedName name="hvrai">'Feuil1'!$G$16</definedName>
    <definedName name="k_Ret_A">'Feuil1'!$I$11</definedName>
    <definedName name="Keq1">'Feuil1'!$I$10</definedName>
    <definedName name="kRet1A">'Feuil1'!$I$11</definedName>
    <definedName name="kretb">'Feuil1'!$K$11</definedName>
    <definedName name="Lcm">'Feuil1'!$B$12</definedName>
    <definedName name="Nattendue">'Feuil1'!$B$23</definedName>
    <definedName name="NeffA">'Feuil1'!$I$17</definedName>
    <definedName name="NeffB">'Feuil1'!$K$17</definedName>
    <definedName name="Nvrai">'Feuil1'!$G$17</definedName>
    <definedName name="porosité">'Feuil1'!$B$11</definedName>
    <definedName name="sgmaA">'Feuil1'!$I$16</definedName>
    <definedName name="sgmaB">'Feuil1'!$K$16</definedName>
    <definedName name="tmort">'Feuil1'!$G$14</definedName>
    <definedName name="tmortsec">'Feuil1'!$G$13</definedName>
    <definedName name="tRA">'Feuil1'!$I$13</definedName>
    <definedName name="tRB">'Feuil1'!$K$13</definedName>
    <definedName name="tRedA">'Feuil1'!$I$14</definedName>
    <definedName name="tRedB">'Feuil1'!$K$14</definedName>
    <definedName name="u">'Feuil1'!$G$15</definedName>
    <definedName name="uopt">'Feuil1'!$B$17</definedName>
    <definedName name="Vint">'Feuil1'!$G$10</definedName>
    <definedName name="Vmort">'Feuil1'!$G$11</definedName>
    <definedName name="VRA">'Feuil1'!$I$12</definedName>
    <definedName name="VRB">'Feuil1'!$K$12</definedName>
    <definedName name="Vstat">'Feuil1'!$G$12</definedName>
    <definedName name="xorg">'Feuil1'!$E$20</definedName>
  </definedNames>
  <calcPr fullCalcOnLoad="1"/>
</workbook>
</file>

<file path=xl/comments1.xml><?xml version="1.0" encoding="utf-8"?>
<comments xmlns="http://schemas.openxmlformats.org/spreadsheetml/2006/main">
  <authors>
    <author>Mme Bri?re</author>
    <author>Administrateur</author>
    <author>T.BRIERE</author>
  </authors>
  <commentList>
    <comment ref="A10" authorId="0">
      <text>
        <r>
          <rPr>
            <b/>
            <sz val="12"/>
            <color indexed="12"/>
            <rFont val="Tahoma"/>
            <family val="2"/>
          </rPr>
          <t>Thierry Brière:
Paramètres fondamentaux
A fixer préalablement grâce aux boutons CURSEURS</t>
        </r>
      </text>
    </comment>
    <comment ref="F9" authorId="0">
      <text>
        <r>
          <rPr>
            <b/>
            <sz val="12"/>
            <color indexed="12"/>
            <rFont val="Tahoma"/>
            <family val="2"/>
          </rPr>
          <t>Thierry Brière :
Tous ces paramètres se calculent à partir des paramètres fondamentaux
Il suffit d'appliquer les formules du chapitre 1</t>
        </r>
      </text>
    </comment>
    <comment ref="B23" authorId="1">
      <text>
        <r>
          <rPr>
            <b/>
            <sz val="8"/>
            <rFont val="Tahoma"/>
            <family val="0"/>
          </rPr>
          <t xml:space="preserve">
   </t>
        </r>
        <r>
          <rPr>
            <b/>
            <sz val="8"/>
            <color indexed="10"/>
            <rFont val="Tahoma"/>
            <family val="2"/>
          </rPr>
          <t xml:space="preserve">Efficacité attendue </t>
        </r>
        <r>
          <rPr>
            <b/>
            <sz val="8"/>
            <rFont val="Tahoma"/>
            <family val="0"/>
          </rPr>
          <t xml:space="preserve">estimée par hopt = 0,5/dpart
 </t>
        </r>
        <r>
          <rPr>
            <sz val="8"/>
            <rFont val="Tahoma"/>
            <family val="0"/>
          </rPr>
          <t xml:space="preserve">
</t>
        </r>
      </text>
    </comment>
    <comment ref="B17" authorId="1">
      <text>
        <r>
          <rPr>
            <b/>
            <sz val="8"/>
            <rFont val="Tahoma"/>
            <family val="0"/>
          </rPr>
          <t xml:space="preserve">
  Vitesse linéaire optimale estimée par
  uopt = 0,5 / dpart
</t>
        </r>
        <r>
          <rPr>
            <sz val="8"/>
            <rFont val="Tahoma"/>
            <family val="0"/>
          </rPr>
          <t xml:space="preserve">
</t>
        </r>
      </text>
    </comment>
    <comment ref="B19" authorId="1">
      <text>
        <r>
          <rPr>
            <b/>
            <sz val="8"/>
            <rFont val="Tahoma"/>
            <family val="0"/>
          </rPr>
          <t xml:space="preserve">
  h  optimale estimée par :
  h opt = 3 * dpart (en </t>
        </r>
        <r>
          <rPr>
            <b/>
            <sz val="8"/>
            <rFont val="Symbol"/>
            <family val="1"/>
          </rPr>
          <t>m</t>
        </r>
        <r>
          <rPr>
            <b/>
            <sz val="8"/>
            <rFont val="Tahoma"/>
            <family val="0"/>
          </rPr>
          <t>m)</t>
        </r>
        <r>
          <rPr>
            <sz val="8"/>
            <rFont val="Tahoma"/>
            <family val="0"/>
          </rPr>
          <t xml:space="preserve">
</t>
        </r>
      </text>
    </comment>
    <comment ref="G10" authorId="1">
      <text>
        <r>
          <rPr>
            <b/>
            <sz val="8"/>
            <rFont val="Tahoma"/>
            <family val="0"/>
          </rPr>
          <t xml:space="preserve">
 Volume interne de la colonne</t>
        </r>
        <r>
          <rPr>
            <sz val="8"/>
            <rFont val="Tahoma"/>
            <family val="0"/>
          </rPr>
          <t xml:space="preserve">
</t>
        </r>
      </text>
    </comment>
    <comment ref="G11" authorId="1">
      <text>
        <r>
          <rPr>
            <b/>
            <sz val="8"/>
            <rFont val="Tahoma"/>
            <family val="0"/>
          </rPr>
          <t xml:space="preserve">
  Volume mort de la colonne</t>
        </r>
        <r>
          <rPr>
            <sz val="8"/>
            <rFont val="Tahoma"/>
            <family val="0"/>
          </rPr>
          <t xml:space="preserve">
   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vertAlign val="subscript"/>
            <sz val="8"/>
            <color indexed="10"/>
            <rFont val="Tahoma"/>
            <family val="2"/>
          </rPr>
          <t>M</t>
        </r>
        <r>
          <rPr>
            <b/>
            <sz val="8"/>
            <color indexed="10"/>
            <rFont val="Tahoma"/>
            <family val="2"/>
          </rPr>
          <t xml:space="preserve"> = porosité * Volume interne</t>
        </r>
      </text>
    </comment>
    <comment ref="G12" authorId="1">
      <text>
        <r>
          <rPr>
            <b/>
            <sz val="8"/>
            <rFont val="Tahoma"/>
            <family val="0"/>
          </rPr>
          <t xml:space="preserve">
  Volume de la phase stationnaire</t>
        </r>
        <r>
          <rPr>
            <sz val="8"/>
            <rFont val="Tahoma"/>
            <family val="0"/>
          </rPr>
          <t xml:space="preserve">
  </t>
        </r>
        <r>
          <rPr>
            <b/>
            <sz val="8"/>
            <color indexed="10"/>
            <rFont val="Tahoma"/>
            <family val="2"/>
          </rPr>
          <t>VStat = V interne - V mort</t>
        </r>
      </text>
    </comment>
    <comment ref="B20" authorId="1">
      <text>
        <r>
          <rPr>
            <b/>
            <sz val="8"/>
            <rFont val="Tahoma"/>
            <family val="2"/>
          </rPr>
          <t xml:space="preserve">
    Paramètres de la courbe de Stocke
    h = A + B/u + C u
    A : considéré comme nul</t>
        </r>
        <r>
          <rPr>
            <sz val="8"/>
            <rFont val="Tahoma"/>
            <family val="0"/>
          </rPr>
          <t xml:space="preserve">
 </t>
        </r>
      </text>
    </comment>
    <comment ref="B21" authorId="1">
      <text>
        <r>
          <rPr>
            <b/>
            <sz val="8"/>
            <rFont val="Tahoma"/>
            <family val="0"/>
          </rPr>
          <t xml:space="preserve">
   Paramètres de la courbe de Stocke
   h = 0 + B/u + C u
   B = hopt * uopt / 2
</t>
        </r>
      </text>
    </comment>
    <comment ref="B22" authorId="1">
      <text>
        <r>
          <rPr>
            <b/>
            <sz val="8"/>
            <rFont val="Tahoma"/>
            <family val="0"/>
          </rPr>
          <t xml:space="preserve"> 
  Paramètres de la courbe de Stocke
  h = A + B/u + C u
  C = hopt / ( 2 uopt )</t>
        </r>
        <r>
          <rPr>
            <sz val="8"/>
            <rFont val="Tahoma"/>
            <family val="0"/>
          </rPr>
          <t xml:space="preserve">
</t>
        </r>
      </text>
    </comment>
    <comment ref="G16" authorId="1">
      <text>
        <r>
          <rPr>
            <sz val="8"/>
            <rFont val="Tahoma"/>
            <family val="0"/>
          </rPr>
          <t>h calculé au débit imposé par la loi de Stocke
Paramètres de la courbe de Stocke
h = A + B/u + C u
A : considéré comme nul</t>
        </r>
      </text>
    </comment>
    <comment ref="G17" authorId="1">
      <text>
        <r>
          <rPr>
            <b/>
            <sz val="8"/>
            <rFont val="Tahoma"/>
            <family val="0"/>
          </rPr>
          <t xml:space="preserve">  
   Efficacité estimée de la colonne au débit imposé
   N = L(cm) / h(cm)</t>
        </r>
        <r>
          <rPr>
            <sz val="8"/>
            <rFont val="Tahoma"/>
            <family val="0"/>
          </rPr>
          <t xml:space="preserve">
</t>
        </r>
      </text>
    </comment>
    <comment ref="B18" authorId="1">
      <text>
        <r>
          <rPr>
            <b/>
            <sz val="8"/>
            <rFont val="Tahoma"/>
            <family val="0"/>
          </rPr>
          <t xml:space="preserve">  
  Débit optimal estimé</t>
        </r>
        <r>
          <rPr>
            <sz val="8"/>
            <rFont val="Tahoma"/>
            <family val="0"/>
          </rPr>
          <t xml:space="preserve">
  </t>
        </r>
        <r>
          <rPr>
            <b/>
            <sz val="8"/>
            <rFont val="Tahoma"/>
            <family val="2"/>
          </rPr>
          <t>Dopt = uopt * Vmort / L</t>
        </r>
      </text>
    </comment>
    <comment ref="G13" authorId="1">
      <text>
        <r>
          <rPr>
            <b/>
            <sz val="8"/>
            <rFont val="Tahoma"/>
            <family val="0"/>
          </rPr>
          <t xml:space="preserve">
   Temps mort :
    </t>
        </r>
        <r>
          <rPr>
            <b/>
            <sz val="8"/>
            <color indexed="10"/>
            <rFont val="Tahoma"/>
            <family val="2"/>
          </rPr>
          <t>tMort = Vmort /débit = L / u</t>
        </r>
        <r>
          <rPr>
            <sz val="8"/>
            <rFont val="Tahoma"/>
            <family val="0"/>
          </rPr>
          <t xml:space="preserve">
 </t>
        </r>
      </text>
    </comment>
    <comment ref="I10" authorId="1">
      <text>
        <r>
          <rPr>
            <b/>
            <sz val="8"/>
            <rFont val="Tahoma"/>
            <family val="0"/>
          </rPr>
          <t xml:space="preserve">
   Constante équilibre de partition
   Composé 1 
   Keq1 = kret1 * Vmort/Vstat</t>
        </r>
        <r>
          <rPr>
            <sz val="8"/>
            <rFont val="Tahoma"/>
            <family val="0"/>
          </rPr>
          <t xml:space="preserve">
</t>
        </r>
      </text>
    </comment>
    <comment ref="I11" authorId="1">
      <text>
        <r>
          <rPr>
            <b/>
            <sz val="8"/>
            <rFont val="Tahoma"/>
            <family val="0"/>
          </rPr>
          <t xml:space="preserve">
    Facteur de rétention  :
    k = 10^(a logx+b)</t>
        </r>
        <r>
          <rPr>
            <sz val="8"/>
            <rFont val="Tahoma"/>
            <family val="0"/>
          </rPr>
          <t xml:space="preserve">
</t>
        </r>
      </text>
    </comment>
    <comment ref="I12" authorId="1">
      <text>
        <r>
          <rPr>
            <b/>
            <sz val="8"/>
            <rFont val="Tahoma"/>
            <family val="0"/>
          </rPr>
          <t xml:space="preserve">
    Volume de rétention :
    VR = Vmort + Keq * Vstat</t>
        </r>
        <r>
          <rPr>
            <sz val="8"/>
            <rFont val="Tahoma"/>
            <family val="0"/>
          </rPr>
          <t xml:space="preserve">
</t>
        </r>
      </text>
    </comment>
    <comment ref="I13" authorId="1">
      <text>
        <r>
          <rPr>
            <b/>
            <sz val="8"/>
            <rFont val="Tahoma"/>
            <family val="0"/>
          </rPr>
          <t xml:space="preserve">
   Temps de rétention
    tR = VR/ débit = tmort*(1+k)</t>
        </r>
        <r>
          <rPr>
            <sz val="8"/>
            <rFont val="Tahoma"/>
            <family val="0"/>
          </rPr>
          <t xml:space="preserve">
</t>
        </r>
      </text>
    </comment>
    <comment ref="I14" authorId="1">
      <text>
        <r>
          <rPr>
            <b/>
            <sz val="8"/>
            <rFont val="Tahoma"/>
            <family val="2"/>
          </rPr>
          <t xml:space="preserve">   
   Temps de rétention réduit :
   tR' = tR - tmort</t>
        </r>
        <r>
          <rPr>
            <sz val="8"/>
            <rFont val="Tahoma"/>
            <family val="0"/>
          </rPr>
          <t xml:space="preserve">
</t>
        </r>
      </text>
    </comment>
    <comment ref="I15" authorId="1">
      <text>
        <r>
          <rPr>
            <b/>
            <sz val="8"/>
            <rFont val="Tahoma"/>
            <family val="0"/>
          </rPr>
          <t xml:space="preserve">
  k = tRred / tmort
  A titre de vérification</t>
        </r>
        <r>
          <rPr>
            <sz val="8"/>
            <rFont val="Tahoma"/>
            <family val="0"/>
          </rPr>
          <t xml:space="preserve">
</t>
        </r>
      </text>
    </comment>
    <comment ref="I16" authorId="1">
      <text>
        <r>
          <rPr>
            <b/>
            <sz val="8"/>
            <rFont val="Tahoma"/>
            <family val="0"/>
          </rPr>
          <t xml:space="preserve">   
   écart type du pic :
   sigma = tR / N</t>
        </r>
        <r>
          <rPr>
            <b/>
            <vertAlign val="superscript"/>
            <sz val="8"/>
            <rFont val="Tahoma"/>
            <family val="2"/>
          </rPr>
          <t>0,5</t>
        </r>
        <r>
          <rPr>
            <sz val="8"/>
            <rFont val="Tahoma"/>
            <family val="0"/>
          </rPr>
          <t xml:space="preserve">
</t>
        </r>
      </text>
    </comment>
    <comment ref="I17" authorId="1">
      <text>
        <r>
          <rPr>
            <sz val="8"/>
            <rFont val="Tahoma"/>
            <family val="0"/>
          </rPr>
          <t xml:space="preserve"> 
   </t>
        </r>
        <r>
          <rPr>
            <b/>
            <sz val="8"/>
            <rFont val="Tahoma"/>
            <family val="2"/>
          </rPr>
          <t>Efficacité réelle
   Neff = tred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 xml:space="preserve"> / sigma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11" authorId="1">
      <text>
        <r>
          <rPr>
            <b/>
            <sz val="8"/>
            <rFont val="Tahoma"/>
            <family val="0"/>
          </rPr>
          <t>Porosité de la colonne :
porosité = Vmort /VInterne</t>
        </r>
        <r>
          <rPr>
            <sz val="8"/>
            <rFont val="Tahoma"/>
            <family val="0"/>
          </rPr>
          <t xml:space="preserve">
</t>
        </r>
      </text>
    </comment>
    <comment ref="B12" authorId="1">
      <text>
        <r>
          <rPr>
            <b/>
            <sz val="8"/>
            <rFont val="Tahoma"/>
            <family val="0"/>
          </rPr>
          <t xml:space="preserve">
  Longueur de la colonne en cm</t>
        </r>
        <r>
          <rPr>
            <sz val="8"/>
            <rFont val="Tahoma"/>
            <family val="0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0"/>
          </rPr>
          <t xml:space="preserve">
  Diamètre interne de la colonne en cm</t>
        </r>
        <r>
          <rPr>
            <sz val="8"/>
            <rFont val="Tahoma"/>
            <family val="0"/>
          </rPr>
          <t xml:space="preserve">
</t>
        </r>
      </text>
    </comment>
    <comment ref="B14" authorId="1">
      <text>
        <r>
          <rPr>
            <b/>
            <sz val="8"/>
            <rFont val="Tahoma"/>
            <family val="0"/>
          </rPr>
          <t xml:space="preserve">
   Diamètres des particules de phases stationnaire plus    ce
   diamètre est faible plus la colonne est efficace.</t>
        </r>
        <r>
          <rPr>
            <sz val="8"/>
            <rFont val="Tahoma"/>
            <family val="0"/>
          </rPr>
          <t xml:space="preserve">
 </t>
        </r>
      </text>
    </comment>
    <comment ref="E10" authorId="1">
      <text>
        <r>
          <rPr>
            <b/>
            <sz val="8"/>
            <rFont val="Tahoma"/>
            <family val="0"/>
          </rPr>
          <t xml:space="preserve">  Résolution "vraie"
  On suppose efficacité identique pour les deux   composés
</t>
        </r>
        <r>
          <rPr>
            <sz val="8"/>
            <rFont val="Tahoma"/>
            <family val="0"/>
          </rPr>
          <t xml:space="preserve">
 </t>
        </r>
        <r>
          <rPr>
            <sz val="8"/>
            <color indexed="20"/>
            <rFont val="Tahoma"/>
            <family val="2"/>
          </rPr>
          <t xml:space="preserve"> R = </t>
        </r>
        <r>
          <rPr>
            <b/>
            <sz val="8"/>
            <color indexed="20"/>
            <rFont val="Tahoma"/>
            <family val="2"/>
          </rPr>
          <t xml:space="preserve">1/2*(tRB-tRA)/(sigmaA+sigmaB)  </t>
        </r>
      </text>
    </comment>
    <comment ref="E11" authorId="1">
      <text>
        <r>
          <rPr>
            <b/>
            <sz val="8"/>
            <rFont val="Tahoma"/>
            <family val="0"/>
          </rPr>
          <t xml:space="preserve">
  Résolution dans l'hypothèse d'une efficacité identique pour les deux composés
    </t>
        </r>
        <r>
          <rPr>
            <b/>
            <sz val="10"/>
            <color indexed="61"/>
            <rFont val="Tahoma"/>
            <family val="2"/>
          </rPr>
          <t>R  = 0,5*N</t>
        </r>
        <r>
          <rPr>
            <b/>
            <vertAlign val="superscript"/>
            <sz val="10"/>
            <color indexed="61"/>
            <rFont val="Tahoma"/>
            <family val="2"/>
          </rPr>
          <t>0,5</t>
        </r>
        <r>
          <rPr>
            <b/>
            <sz val="10"/>
            <color indexed="61"/>
            <rFont val="Tahoma"/>
            <family val="2"/>
          </rPr>
          <t>*(tRB-tRA)/(tRB+tRA)</t>
        </r>
        <r>
          <rPr>
            <sz val="8"/>
            <rFont val="Tahoma"/>
            <family val="0"/>
          </rPr>
          <t xml:space="preserve">
</t>
        </r>
      </text>
    </comment>
    <comment ref="E12" authorId="1">
      <text>
        <r>
          <rPr>
            <sz val="8"/>
            <rFont val="Tahoma"/>
            <family val="0"/>
          </rPr>
          <t xml:space="preserve">
   </t>
        </r>
        <r>
          <rPr>
            <b/>
            <sz val="8"/>
            <color indexed="61"/>
            <rFont val="Tahoma"/>
            <family val="2"/>
          </rPr>
          <t>R = 1/4*NeffB</t>
        </r>
        <r>
          <rPr>
            <b/>
            <vertAlign val="superscript"/>
            <sz val="8"/>
            <color indexed="61"/>
            <rFont val="Tahoma"/>
            <family val="2"/>
          </rPr>
          <t>0,5</t>
        </r>
        <r>
          <rPr>
            <b/>
            <sz val="8"/>
            <color indexed="61"/>
            <rFont val="Tahoma"/>
            <family val="2"/>
          </rPr>
          <t>*(alpha-1)/alpha</t>
        </r>
      </text>
    </comment>
    <comment ref="E13" authorId="1">
      <text>
        <r>
          <rPr>
            <sz val="8"/>
            <rFont val="Tahoma"/>
            <family val="0"/>
          </rPr>
          <t xml:space="preserve">
 </t>
        </r>
        <r>
          <rPr>
            <b/>
            <sz val="10"/>
            <color indexed="14"/>
            <rFont val="Tahoma"/>
            <family val="2"/>
          </rPr>
          <t xml:space="preserve"> Approximation de Purnell</t>
        </r>
        <r>
          <rPr>
            <b/>
            <sz val="10"/>
            <color indexed="61"/>
            <rFont val="Tahoma"/>
            <family val="2"/>
          </rPr>
          <t xml:space="preserve"> :</t>
        </r>
        <r>
          <rPr>
            <sz val="8"/>
            <rFont val="Tahoma"/>
            <family val="0"/>
          </rPr>
          <t xml:space="preserve">
    </t>
        </r>
        <r>
          <rPr>
            <b/>
            <sz val="8"/>
            <color indexed="61"/>
            <rFont val="Tahoma"/>
            <family val="2"/>
          </rPr>
          <t xml:space="preserve">R = </t>
        </r>
        <r>
          <rPr>
            <b/>
            <sz val="10"/>
            <color indexed="61"/>
            <rFont val="Tahoma"/>
            <family val="2"/>
          </rPr>
          <t xml:space="preserve">1/4 * </t>
        </r>
        <r>
          <rPr>
            <b/>
            <sz val="10"/>
            <color indexed="10"/>
            <rFont val="Tahoma"/>
            <family val="2"/>
          </rPr>
          <t>Nvrai</t>
        </r>
        <r>
          <rPr>
            <b/>
            <vertAlign val="superscript"/>
            <sz val="10"/>
            <color indexed="10"/>
            <rFont val="Tahoma"/>
            <family val="2"/>
          </rPr>
          <t>0,5</t>
        </r>
        <r>
          <rPr>
            <b/>
            <sz val="10"/>
            <color indexed="61"/>
            <rFont val="Tahoma"/>
            <family val="2"/>
          </rPr>
          <t>*</t>
        </r>
        <r>
          <rPr>
            <b/>
            <sz val="10"/>
            <color indexed="12"/>
            <rFont val="Tahoma"/>
            <family val="2"/>
          </rPr>
          <t>(alpha-1)/alpha</t>
        </r>
        <r>
          <rPr>
            <b/>
            <sz val="10"/>
            <color indexed="61"/>
            <rFont val="Tahoma"/>
            <family val="2"/>
          </rPr>
          <t xml:space="preserve"> * kretB/(1+kretB)</t>
        </r>
        <r>
          <rPr>
            <b/>
            <sz val="10"/>
            <rFont val="Tahoma"/>
            <family val="2"/>
          </rPr>
          <t xml:space="preserve">
</t>
        </r>
      </text>
    </comment>
    <comment ref="K10" authorId="1">
      <text>
        <r>
          <rPr>
            <b/>
            <sz val="8"/>
            <rFont val="Tahoma"/>
            <family val="0"/>
          </rPr>
          <t xml:space="preserve">
   Constante équilibre de partition
   Composé 2 
   Keq2 = kret2 * Vmort/Vstat</t>
        </r>
      </text>
    </comment>
    <comment ref="K11" authorId="1">
      <text>
        <r>
          <rPr>
            <b/>
            <sz val="8"/>
            <rFont val="Tahoma"/>
            <family val="0"/>
          </rPr>
          <t xml:space="preserve">
    Facteur de rétention  :
    k = 10^(a logx+b)</t>
        </r>
      </text>
    </comment>
    <comment ref="K12" authorId="1">
      <text>
        <r>
          <rPr>
            <b/>
            <sz val="8"/>
            <rFont val="Tahoma"/>
            <family val="0"/>
          </rPr>
          <t xml:space="preserve">
  Volume de rétention :
    VR = Vmort + Keq * Vstat</t>
        </r>
        <r>
          <rPr>
            <sz val="8"/>
            <rFont val="Tahoma"/>
            <family val="0"/>
          </rPr>
          <t xml:space="preserve">
</t>
        </r>
      </text>
    </comment>
    <comment ref="K13" authorId="1">
      <text>
        <r>
          <rPr>
            <b/>
            <sz val="8"/>
            <rFont val="Tahoma"/>
            <family val="0"/>
          </rPr>
          <t xml:space="preserve">  
   Temps de rétention
    tR = VR/ débit = tmort*(1+k)
</t>
        </r>
        <r>
          <rPr>
            <sz val="8"/>
            <rFont val="Tahoma"/>
            <family val="0"/>
          </rPr>
          <t xml:space="preserve">
</t>
        </r>
      </text>
    </comment>
    <comment ref="K14" authorId="1">
      <text>
        <r>
          <rPr>
            <b/>
            <sz val="8"/>
            <rFont val="Tahoma"/>
            <family val="0"/>
          </rPr>
          <t xml:space="preserve">
  Temps de rétention réduit :
   tR' = tR - tmort</t>
        </r>
        <r>
          <rPr>
            <sz val="8"/>
            <rFont val="Tahoma"/>
            <family val="0"/>
          </rPr>
          <t xml:space="preserve">
</t>
        </r>
      </text>
    </comment>
    <comment ref="K15" authorId="1">
      <text>
        <r>
          <rPr>
            <b/>
            <sz val="8"/>
            <rFont val="Tahoma"/>
            <family val="0"/>
          </rPr>
          <t xml:space="preserve">
  k = tRred / tmort
A titre de vérification</t>
        </r>
        <r>
          <rPr>
            <sz val="8"/>
            <rFont val="Tahoma"/>
            <family val="0"/>
          </rPr>
          <t xml:space="preserve">
</t>
        </r>
      </text>
    </comment>
    <comment ref="K16" authorId="1">
      <text>
        <r>
          <rPr>
            <b/>
            <sz val="8"/>
            <rFont val="Tahoma"/>
            <family val="0"/>
          </rPr>
          <t xml:space="preserve">
  écart type du pic :
   sigma = tR / N</t>
        </r>
        <r>
          <rPr>
            <b/>
            <vertAlign val="superscript"/>
            <sz val="8"/>
            <rFont val="Tahoma"/>
            <family val="2"/>
          </rPr>
          <t>0,5</t>
        </r>
      </text>
    </comment>
    <comment ref="K17" authorId="1">
      <text>
        <r>
          <rPr>
            <b/>
            <sz val="8"/>
            <rFont val="Tahoma"/>
            <family val="0"/>
          </rPr>
          <t xml:space="preserve">
  Efficacité réelle
   Neff = tred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 / sigma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E20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Teneur en solvant organique de l'éluant en %volume</t>
        </r>
        <r>
          <rPr>
            <sz val="8"/>
            <rFont val="Tahoma"/>
            <family val="0"/>
          </rPr>
          <t xml:space="preserve">
</t>
        </r>
      </text>
    </comment>
    <comment ref="B15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2"/>
            <rFont val="Tahoma"/>
            <family val="2"/>
          </rPr>
          <t>Débit de l'éluant en mL/min</t>
        </r>
      </text>
    </comment>
    <comment ref="E14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Sélectivité </t>
        </r>
        <r>
          <rPr>
            <b/>
            <sz val="10"/>
            <color indexed="12"/>
            <rFont val="Symbol"/>
            <family val="1"/>
          </rPr>
          <t>a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rFont val="Symbol"/>
            <family val="1"/>
          </rPr>
          <t>a</t>
        </r>
        <r>
          <rPr>
            <b/>
            <sz val="10"/>
            <rFont val="Tahoma"/>
            <family val="2"/>
          </rPr>
          <t xml:space="preserve"> = kret2/kret1 Si kret1&lt;kret2
</t>
        </r>
        <r>
          <rPr>
            <b/>
            <sz val="10"/>
            <rFont val="Symbol"/>
            <family val="1"/>
          </rPr>
          <t>a</t>
        </r>
        <r>
          <rPr>
            <b/>
            <sz val="10"/>
            <rFont val="Tahoma"/>
            <family val="2"/>
          </rPr>
          <t xml:space="preserve"> = kret1/kret2 Si kret2&lt;kret1</t>
        </r>
      </text>
    </comment>
    <comment ref="G15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Vitesse linéaire moyenne du solvant</t>
        </r>
      </text>
    </comment>
    <comment ref="H20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Pente a1 de l'équation d'Everett pour le composé 1
log k1 = </t>
        </r>
        <r>
          <rPr>
            <b/>
            <sz val="10"/>
            <color indexed="10"/>
            <rFont val="Tahoma"/>
            <family val="2"/>
          </rPr>
          <t>a1</t>
        </r>
        <r>
          <rPr>
            <sz val="10"/>
            <rFont val="Tahoma"/>
            <family val="2"/>
          </rPr>
          <t xml:space="preserve"> log x + b1
</t>
        </r>
        <r>
          <rPr>
            <b/>
            <sz val="10"/>
            <color indexed="12"/>
            <rFont val="Tahoma"/>
            <family val="2"/>
          </rPr>
          <t>Valeurs standard : -3 &lt; a &lt; 0</t>
        </r>
      </text>
    </comment>
    <comment ref="H21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P</t>
        </r>
        <r>
          <rPr>
            <sz val="10"/>
            <rFont val="Tahoma"/>
            <family val="2"/>
          </rPr>
          <t xml:space="preserve">ente a2 de l'équation d'Everett pour le composé 2
log k2 = </t>
        </r>
        <r>
          <rPr>
            <b/>
            <sz val="10"/>
            <color indexed="10"/>
            <rFont val="Tahoma"/>
            <family val="2"/>
          </rPr>
          <t>a2</t>
        </r>
        <r>
          <rPr>
            <sz val="10"/>
            <rFont val="Tahoma"/>
            <family val="2"/>
          </rPr>
          <t xml:space="preserve"> log x + b2
</t>
        </r>
        <r>
          <rPr>
            <b/>
            <sz val="10"/>
            <color indexed="12"/>
            <rFont val="Tahoma"/>
            <family val="2"/>
          </rPr>
          <t>Valeur standard : -3 &lt; a &lt; 0</t>
        </r>
      </text>
    </comment>
    <comment ref="K20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Ordonée b1 de l'équation d'Everett pour le composé 1
log k1 = a1 log x +</t>
        </r>
        <r>
          <rPr>
            <b/>
            <sz val="10"/>
            <color indexed="10"/>
            <rFont val="Tahoma"/>
            <family val="2"/>
          </rPr>
          <t xml:space="preserve"> b1
</t>
        </r>
        <r>
          <rPr>
            <b/>
            <sz val="10"/>
            <color indexed="12"/>
            <rFont val="Tahoma"/>
            <family val="2"/>
          </rPr>
          <t>Valeur standard : -1,5 &lt; b &lt; 0</t>
        </r>
      </text>
    </comment>
    <comment ref="K21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Ordonnée b2 de l'équation d'Everett pour le composé 2
log k2 = a2 log x + </t>
        </r>
        <r>
          <rPr>
            <b/>
            <sz val="10"/>
            <color indexed="10"/>
            <rFont val="Tahoma"/>
            <family val="2"/>
          </rPr>
          <t xml:space="preserve">b2
</t>
        </r>
        <r>
          <rPr>
            <b/>
            <sz val="10"/>
            <color indexed="12"/>
            <rFont val="Tahoma"/>
            <family val="2"/>
          </rPr>
          <t>Valeur standard : -1,5 &lt; b &lt; 0</t>
        </r>
      </text>
    </comment>
    <comment ref="J30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tarret=1,1*max(tr1;tr2)</t>
        </r>
      </text>
    </comment>
    <comment ref="J31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Pas = tarret/100
</t>
        </r>
      </text>
    </comment>
    <comment ref="D28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temps en minutes</t>
        </r>
      </text>
    </comment>
    <comment ref="E28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pic 1 
y = 1/sigma*EXP(-((t-tR)^2)/2/sigma^2)</t>
        </r>
      </text>
    </comment>
    <comment ref="F28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pic 2 
y = 1/sigma*EXP(-((t-tR)^2)/2/sigma^2)</t>
        </r>
      </text>
    </comment>
    <comment ref="G28" authorId="2">
      <text>
        <r>
          <rPr>
            <b/>
            <sz val="8"/>
            <rFont val="Tahoma"/>
            <family val="0"/>
          </rPr>
          <t>T.BRIERE:</t>
        </r>
        <r>
          <rPr>
            <sz val="8"/>
            <rFont val="Tahoma"/>
            <family val="0"/>
          </rPr>
          <t xml:space="preserve">
chromatogramme
y = y1 + y2</t>
        </r>
      </text>
    </comment>
  </commentList>
</comments>
</file>

<file path=xl/sharedStrings.xml><?xml version="1.0" encoding="utf-8"?>
<sst xmlns="http://schemas.openxmlformats.org/spreadsheetml/2006/main" count="70" uniqueCount="70">
  <si>
    <t>Vint</t>
  </si>
  <si>
    <t>tR'A</t>
  </si>
  <si>
    <t>kA</t>
  </si>
  <si>
    <t>kB</t>
  </si>
  <si>
    <t>t</t>
  </si>
  <si>
    <t>porosité</t>
  </si>
  <si>
    <t>Longueur (cm)</t>
  </si>
  <si>
    <t>diamètre intérieur (cm)</t>
  </si>
  <si>
    <r>
      <t>s</t>
    </r>
    <r>
      <rPr>
        <b/>
        <sz val="10"/>
        <rFont val="Arial"/>
        <family val="2"/>
      </rPr>
      <t>b</t>
    </r>
  </si>
  <si>
    <r>
      <t>s</t>
    </r>
    <r>
      <rPr>
        <b/>
        <sz val="10"/>
        <rFont val="Arial"/>
        <family val="2"/>
      </rPr>
      <t>A</t>
    </r>
  </si>
  <si>
    <r>
      <t>V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A</t>
    </r>
  </si>
  <si>
    <r>
      <t>t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A</t>
    </r>
  </si>
  <si>
    <r>
      <t>N</t>
    </r>
    <r>
      <rPr>
        <b/>
        <vertAlign val="subscript"/>
        <sz val="10"/>
        <rFont val="Arial"/>
        <family val="2"/>
      </rPr>
      <t>eff</t>
    </r>
    <r>
      <rPr>
        <b/>
        <sz val="10"/>
        <rFont val="Arial"/>
        <family val="2"/>
      </rPr>
      <t>A</t>
    </r>
  </si>
  <si>
    <r>
      <t>V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B</t>
    </r>
  </si>
  <si>
    <r>
      <t>t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B</t>
    </r>
  </si>
  <si>
    <r>
      <t>t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'B</t>
    </r>
  </si>
  <si>
    <r>
      <t>t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(min)</t>
    </r>
  </si>
  <si>
    <r>
      <t>t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(s)</t>
    </r>
  </si>
  <si>
    <r>
      <t>uopt (cm 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</si>
  <si>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Pib de B</t>
  </si>
  <si>
    <t xml:space="preserve"> pic de A</t>
  </si>
  <si>
    <r>
      <t>N</t>
    </r>
    <r>
      <rPr>
        <b/>
        <vertAlign val="subscript"/>
        <sz val="10"/>
        <rFont val="Arial"/>
        <family val="2"/>
      </rPr>
      <t>eff</t>
    </r>
    <r>
      <rPr>
        <b/>
        <sz val="10"/>
        <rFont val="Arial"/>
        <family val="2"/>
      </rPr>
      <t>B</t>
    </r>
  </si>
  <si>
    <r>
      <t xml:space="preserve"> </t>
    </r>
    <r>
      <rPr>
        <b/>
        <sz val="10"/>
        <color indexed="12"/>
        <rFont val="Arial"/>
        <family val="2"/>
      </rPr>
      <t>Paramètres Fondamentaux</t>
    </r>
  </si>
  <si>
    <t>Paramètres Déduits</t>
  </si>
  <si>
    <t>R "vrai"</t>
  </si>
  <si>
    <t>R "approx 1"</t>
  </si>
  <si>
    <t>R "approx 2"</t>
  </si>
  <si>
    <t>R "Purnel"</t>
  </si>
  <si>
    <t>t arrêt</t>
  </si>
  <si>
    <t>Pas</t>
  </si>
  <si>
    <r>
      <t>diamètre particules (</t>
    </r>
    <r>
      <rPr>
        <b/>
        <sz val="8"/>
        <rFont val="Symbol"/>
        <family val="1"/>
      </rPr>
      <t>m</t>
    </r>
    <r>
      <rPr>
        <b/>
        <sz val="8"/>
        <rFont val="Arial"/>
        <family val="2"/>
      </rPr>
      <t>m)</t>
    </r>
  </si>
  <si>
    <r>
      <t>hopt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</si>
  <si>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Debit optimal (mL.min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</si>
  <si>
    <t>Débit</t>
  </si>
  <si>
    <t>u (cm s-1)</t>
  </si>
  <si>
    <t>A (cm)</t>
  </si>
  <si>
    <r>
      <t>B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</si>
  <si>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C (s)</t>
  </si>
  <si>
    <t>N attendu</t>
  </si>
  <si>
    <t>N vrai</t>
  </si>
  <si>
    <t>K eq B</t>
  </si>
  <si>
    <t>k ret B</t>
  </si>
  <si>
    <t>K eq A</t>
  </si>
  <si>
    <t>k Ret A</t>
  </si>
  <si>
    <t>RESOLUTION</t>
  </si>
  <si>
    <t>Vmort</t>
  </si>
  <si>
    <t>Vstat</t>
  </si>
  <si>
    <r>
      <t>h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</si>
  <si>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t>alpha</t>
  </si>
  <si>
    <t>chromatogramme</t>
  </si>
  <si>
    <t>tR1</t>
  </si>
  <si>
    <t>tR2</t>
  </si>
  <si>
    <r>
      <t xml:space="preserve">Simulateur de chromatogrammes avec effet de solvant par </t>
    </r>
    <r>
      <rPr>
        <b/>
        <u val="single"/>
        <sz val="14"/>
        <color indexed="12"/>
        <rFont val="Arial"/>
        <family val="2"/>
      </rPr>
      <t>Thierry Briere</t>
    </r>
  </si>
  <si>
    <t>Teneur en solvant organique</t>
  </si>
  <si>
    <t>PARAMETRES DES COMPOSES A et B</t>
  </si>
  <si>
    <t>aA</t>
  </si>
  <si>
    <t>aB</t>
  </si>
  <si>
    <t>bA</t>
  </si>
  <si>
    <t>bB</t>
  </si>
  <si>
    <t>pic A</t>
  </si>
  <si>
    <t>pic B</t>
  </si>
  <si>
    <t>VERSION 1</t>
  </si>
  <si>
    <t>x (%)</t>
  </si>
  <si>
    <t>Vous pouvez l’utiliser à des fins pédagogiques et NON COMMERCIALES,</t>
  </si>
  <si>
    <t xml:space="preserve">sous certaines réserves dont la citation obligatoire du nom de son auteur et l’adresse </t>
  </si>
  <si>
    <t xml:space="preserve">http://www2.univ-reunion/~briere de son site d’origine pour que vos étudiants </t>
  </si>
  <si>
    <t>puissent y accéder. Merci par avance de respecter ces consignes. Voir contrat…</t>
  </si>
  <si>
    <t>Cette création est mise à disposition sous un contrat Creative Commons.</t>
  </si>
  <si>
    <t>briere@univ-reunion.fr</t>
  </si>
  <si>
    <t>http://www2.univ-reunion.fr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</si>
</sst>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0000"/>
    <numFmt numFmtId="175" formatCode="&quot;Vrai&quot;;&quot;Vrai&quot;;&quot;Faux&quot;"/>
    <numFmt numFmtId="176" formatCode="&quot;Actif&quot;;&quot;Actif&quot;;&quot;Inactif&quot;"/>
    <numFmt numFmtId="177" formatCode="0.000E+0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Symbol"/>
      <family val="1"/>
    </font>
    <font>
      <b/>
      <u val="single"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Tahoma"/>
      <family val="2"/>
    </font>
    <font>
      <b/>
      <sz val="8"/>
      <name val="Symbol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vertAlign val="superscript"/>
      <sz val="8"/>
      <name val="Arial"/>
      <family val="2"/>
    </font>
    <font>
      <b/>
      <vertAlign val="subscript"/>
      <sz val="8"/>
      <color indexed="10"/>
      <name val="Tahoma"/>
      <family val="2"/>
    </font>
    <font>
      <b/>
      <vertAlign val="superscript"/>
      <sz val="8"/>
      <name val="Tahoma"/>
      <family val="2"/>
    </font>
    <font>
      <b/>
      <sz val="8"/>
      <color indexed="61"/>
      <name val="Tahoma"/>
      <family val="2"/>
    </font>
    <font>
      <b/>
      <sz val="10"/>
      <color indexed="61"/>
      <name val="Tahoma"/>
      <family val="2"/>
    </font>
    <font>
      <b/>
      <vertAlign val="superscript"/>
      <sz val="10"/>
      <color indexed="61"/>
      <name val="Tahoma"/>
      <family val="2"/>
    </font>
    <font>
      <b/>
      <vertAlign val="superscript"/>
      <sz val="8"/>
      <color indexed="61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vertAlign val="superscript"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14"/>
      <name val="Tahoma"/>
      <family val="2"/>
    </font>
    <font>
      <sz val="8"/>
      <color indexed="20"/>
      <name val="Tahoma"/>
      <family val="2"/>
    </font>
    <font>
      <b/>
      <sz val="8"/>
      <color indexed="20"/>
      <name val="Tahoma"/>
      <family val="2"/>
    </font>
    <font>
      <sz val="5"/>
      <name val="Arial"/>
      <family val="0"/>
    </font>
    <font>
      <b/>
      <u val="single"/>
      <sz val="14"/>
      <color indexed="12"/>
      <name val="Arial"/>
      <family val="2"/>
    </font>
    <font>
      <sz val="10"/>
      <name val="Tahoma"/>
      <family val="2"/>
    </font>
    <font>
      <b/>
      <sz val="10"/>
      <color indexed="12"/>
      <name val="Symbol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72" fontId="1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1" fontId="1" fillId="3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7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2" borderId="3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6" fillId="3" borderId="6" xfId="0" applyFont="1" applyFill="1" applyBorder="1" applyAlignment="1">
      <alignment/>
    </xf>
    <xf numFmtId="0" fontId="36" fillId="3" borderId="7" xfId="0" applyFont="1" applyFill="1" applyBorder="1" applyAlignment="1">
      <alignment/>
    </xf>
    <xf numFmtId="0" fontId="36" fillId="3" borderId="8" xfId="0" applyFont="1" applyFill="1" applyBorder="1" applyAlignment="1">
      <alignment/>
    </xf>
    <xf numFmtId="0" fontId="36" fillId="3" borderId="9" xfId="0" applyFont="1" applyFill="1" applyBorder="1" applyAlignment="1">
      <alignment/>
    </xf>
    <xf numFmtId="0" fontId="36" fillId="3" borderId="0" xfId="0" applyFont="1" applyFill="1" applyBorder="1" applyAlignment="1">
      <alignment/>
    </xf>
    <xf numFmtId="0" fontId="36" fillId="3" borderId="10" xfId="0" applyFont="1" applyFill="1" applyBorder="1" applyAlignment="1">
      <alignment/>
    </xf>
    <xf numFmtId="0" fontId="36" fillId="3" borderId="11" xfId="0" applyFont="1" applyFill="1" applyBorder="1" applyAlignment="1">
      <alignment horizontal="left"/>
    </xf>
    <xf numFmtId="0" fontId="36" fillId="3" borderId="12" xfId="0" applyFont="1" applyFill="1" applyBorder="1" applyAlignment="1">
      <alignment/>
    </xf>
    <xf numFmtId="0" fontId="36" fillId="3" borderId="13" xfId="0" applyFont="1" applyFill="1" applyBorder="1" applyAlignment="1">
      <alignment/>
    </xf>
    <xf numFmtId="0" fontId="39" fillId="2" borderId="2" xfId="15" applyFont="1" applyFill="1" applyBorder="1" applyAlignment="1">
      <alignment horizontal="center"/>
    </xf>
    <xf numFmtId="0" fontId="39" fillId="2" borderId="5" xfId="15" applyFont="1" applyFill="1" applyBorder="1" applyAlignment="1">
      <alignment horizontal="center"/>
    </xf>
    <xf numFmtId="0" fontId="39" fillId="2" borderId="4" xfId="15" applyFont="1" applyFill="1" applyBorder="1" applyAlignment="1">
      <alignment horizontal="center"/>
    </xf>
    <xf numFmtId="0" fontId="40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chromatogramme</a:t>
            </a:r>
          </a:p>
        </c:rich>
      </c:tx>
      <c:layout>
        <c:manualLayout>
          <c:xMode val="factor"/>
          <c:yMode val="factor"/>
          <c:x val="-0.1317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275"/>
          <c:w val="0.96625"/>
          <c:h val="0.9355"/>
        </c:manualLayout>
      </c:layout>
      <c:scatterChart>
        <c:scatterStyle val="smooth"/>
        <c:varyColors val="0"/>
        <c:ser>
          <c:idx val="2"/>
          <c:order val="0"/>
          <c:tx>
            <c:strRef>
              <c:f>Feuil1!$G$28</c:f>
              <c:strCache>
                <c:ptCount val="1"/>
                <c:pt idx="0">
                  <c:v>chromatogramme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Feuil1!$D$29:$D$149</c:f>
              <c:numCache/>
            </c:numRef>
          </c:xVal>
          <c:yVal>
            <c:numRef>
              <c:f>Feuil1!$G$29:$G$149</c:f>
              <c:numCache/>
            </c:numRef>
          </c:yVal>
          <c:smooth val="1"/>
        </c:ser>
        <c:axId val="31078973"/>
        <c:axId val="28874986"/>
      </c:scatterChart>
      <c:valAx>
        <c:axId val="310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74986"/>
        <c:crosses val="autoZero"/>
        <c:crossBetween val="midCat"/>
        <c:dispUnits/>
      </c:valAx>
      <c:valAx>
        <c:axId val="2887498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78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pics individuels</a:t>
            </a:r>
          </a:p>
        </c:rich>
      </c:tx>
      <c:layout>
        <c:manualLayout>
          <c:xMode val="factor"/>
          <c:yMode val="factor"/>
          <c:x val="-0.1122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105"/>
          <c:w val="0.957"/>
          <c:h val="0.94225"/>
        </c:manualLayout>
      </c:layout>
      <c:scatterChart>
        <c:scatterStyle val="smooth"/>
        <c:varyColors val="0"/>
        <c:ser>
          <c:idx val="0"/>
          <c:order val="0"/>
          <c:tx>
            <c:strRef>
              <c:f>Feuil1!$E$28</c:f>
              <c:strCache>
                <c:ptCount val="1"/>
                <c:pt idx="0">
                  <c:v>pic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Feuil1!$D$29:$D$149</c:f>
              <c:numCache/>
            </c:numRef>
          </c:xVal>
          <c:yVal>
            <c:numRef>
              <c:f>Feuil1!$E$29:$E$149</c:f>
              <c:numCache/>
            </c:numRef>
          </c:yVal>
          <c:smooth val="1"/>
        </c:ser>
        <c:ser>
          <c:idx val="1"/>
          <c:order val="1"/>
          <c:tx>
            <c:strRef>
              <c:f>Feuil1!$F$28</c:f>
              <c:strCache>
                <c:ptCount val="1"/>
                <c:pt idx="0">
                  <c:v>pic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Feuil1!$D$29:$D$149</c:f>
              <c:numCache/>
            </c:numRef>
          </c:xVal>
          <c:yVal>
            <c:numRef>
              <c:f>Feuil1!$F$29:$F$149</c:f>
              <c:numCache/>
            </c:numRef>
          </c:yVal>
          <c:smooth val="1"/>
        </c:ser>
        <c:axId val="32068227"/>
        <c:axId val="57563352"/>
      </c:scatterChart>
      <c:valAx>
        <c:axId val="3206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63352"/>
        <c:crosses val="autoZero"/>
        <c:crossBetween val="midCat"/>
        <c:dispUnits/>
      </c:valAx>
      <c:valAx>
        <c:axId val="57563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68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5"/>
          <c:y val="0.06675"/>
          <c:w val="0.235"/>
          <c:h val="0.2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Feuil2!$N$5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Feuil2!$M$6:$M$101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xVal>
          <c:yVal>
            <c:numRef>
              <c:f>Feuil2!$N$6:$N$106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Feuil2!$O$5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Feuil2!$M$6:$M$101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xVal>
          <c:yVal>
            <c:numRef>
              <c:f>Feuil2!$O$6:$O$106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58724473"/>
        <c:axId val="25288118"/>
      </c:scatterChart>
      <c:valAx>
        <c:axId val="5872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88118"/>
        <c:crosses val="autoZero"/>
        <c:crossBetween val="midCat"/>
        <c:dispUnits/>
      </c:valAx>
      <c:valAx>
        <c:axId val="25288118"/>
        <c:scaling>
          <c:orientation val="minMax"/>
          <c:max val="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24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21</xdr:row>
      <xdr:rowOff>123825</xdr:rowOff>
    </xdr:from>
    <xdr:to>
      <xdr:col>6</xdr:col>
      <xdr:colOff>19050</xdr:colOff>
      <xdr:row>34</xdr:row>
      <xdr:rowOff>47625</xdr:rowOff>
    </xdr:to>
    <xdr:graphicFrame>
      <xdr:nvGraphicFramePr>
        <xdr:cNvPr id="1" name="Chart 15"/>
        <xdr:cNvGraphicFramePr/>
      </xdr:nvGraphicFramePr>
      <xdr:xfrm>
        <a:off x="2305050" y="4124325"/>
        <a:ext cx="29051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21</xdr:row>
      <xdr:rowOff>152400</xdr:rowOff>
    </xdr:from>
    <xdr:to>
      <xdr:col>10</xdr:col>
      <xdr:colOff>114300</xdr:colOff>
      <xdr:row>34</xdr:row>
      <xdr:rowOff>38100</xdr:rowOff>
    </xdr:to>
    <xdr:graphicFrame>
      <xdr:nvGraphicFramePr>
        <xdr:cNvPr id="2" name="Chart 67"/>
        <xdr:cNvGraphicFramePr/>
      </xdr:nvGraphicFramePr>
      <xdr:xfrm>
        <a:off x="5200650" y="4152900"/>
        <a:ext cx="29622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952500</xdr:colOff>
      <xdr:row>5</xdr:row>
      <xdr:rowOff>28575</xdr:rowOff>
    </xdr:from>
    <xdr:to>
      <xdr:col>1</xdr:col>
      <xdr:colOff>714375</xdr:colOff>
      <xdr:row>6</xdr:row>
      <xdr:rowOff>219075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1028700"/>
          <a:ext cx="1143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105</xdr:row>
      <xdr:rowOff>47625</xdr:rowOff>
    </xdr:from>
    <xdr:to>
      <xdr:col>13</xdr:col>
      <xdr:colOff>142875</xdr:colOff>
      <xdr:row>121</xdr:row>
      <xdr:rowOff>9525</xdr:rowOff>
    </xdr:to>
    <xdr:graphicFrame>
      <xdr:nvGraphicFramePr>
        <xdr:cNvPr id="1" name="Chart 15"/>
        <xdr:cNvGraphicFramePr/>
      </xdr:nvGraphicFramePr>
      <xdr:xfrm>
        <a:off x="5419725" y="1704975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sa/2.0/fr/" TargetMode="External" /><Relationship Id="rId2" Type="http://schemas.openxmlformats.org/officeDocument/2006/relationships/hyperlink" Target="mailto:briere@univ-reunion.fr" TargetMode="External" /><Relationship Id="rId3" Type="http://schemas.openxmlformats.org/officeDocument/2006/relationships/hyperlink" Target="http://www2.univ-reunion.fr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20.7109375" style="0" customWidth="1"/>
    <col min="7" max="11" width="10.7109375" style="0" customWidth="1"/>
    <col min="12" max="13" width="8.7109375" style="0" customWidth="1"/>
  </cols>
  <sheetData>
    <row r="1" ht="18">
      <c r="A1" s="2" t="s">
        <v>52</v>
      </c>
    </row>
    <row r="2" ht="16.5" thickBot="1">
      <c r="A2" s="48" t="s">
        <v>61</v>
      </c>
    </row>
    <row r="3" spans="1:8" ht="13.5" thickBot="1">
      <c r="A3" s="72" t="s">
        <v>68</v>
      </c>
      <c r="C3" s="69" t="s">
        <v>67</v>
      </c>
      <c r="D3" s="70"/>
      <c r="E3" s="70"/>
      <c r="F3" s="70"/>
      <c r="G3" s="70"/>
      <c r="H3" s="71"/>
    </row>
    <row r="4" spans="1:8" ht="12.75">
      <c r="A4" s="72" t="s">
        <v>69</v>
      </c>
      <c r="C4" s="60" t="s">
        <v>63</v>
      </c>
      <c r="D4" s="61"/>
      <c r="E4" s="61"/>
      <c r="F4" s="61"/>
      <c r="G4" s="61"/>
      <c r="H4" s="62"/>
    </row>
    <row r="5" spans="1:8" ht="18">
      <c r="A5" s="2"/>
      <c r="C5" s="63" t="s">
        <v>64</v>
      </c>
      <c r="D5" s="64"/>
      <c r="E5" s="64"/>
      <c r="F5" s="64"/>
      <c r="G5" s="64"/>
      <c r="H5" s="65"/>
    </row>
    <row r="6" spans="3:8" ht="12.75">
      <c r="C6" s="63" t="s">
        <v>65</v>
      </c>
      <c r="D6" s="64"/>
      <c r="E6" s="64"/>
      <c r="F6" s="64"/>
      <c r="G6" s="64"/>
      <c r="H6" s="65"/>
    </row>
    <row r="7" spans="1:8" ht="18.75" thickBot="1">
      <c r="A7" s="2"/>
      <c r="C7" s="66" t="s">
        <v>66</v>
      </c>
      <c r="D7" s="67"/>
      <c r="E7" s="67"/>
      <c r="F7" s="67"/>
      <c r="G7" s="67"/>
      <c r="H7" s="68"/>
    </row>
    <row r="8" ht="13.5" thickBot="1"/>
    <row r="9" spans="1:11" ht="15.75" thickBot="1">
      <c r="A9" s="47"/>
      <c r="D9" s="53" t="s">
        <v>44</v>
      </c>
      <c r="E9" s="54"/>
      <c r="F9" s="51" t="s">
        <v>23</v>
      </c>
      <c r="G9" s="52"/>
      <c r="H9" s="51" t="s">
        <v>20</v>
      </c>
      <c r="I9" s="59"/>
      <c r="J9" s="51" t="s">
        <v>19</v>
      </c>
      <c r="K9" s="58"/>
    </row>
    <row r="10" spans="1:11" ht="13.5" thickBot="1">
      <c r="A10" s="49" t="s">
        <v>22</v>
      </c>
      <c r="B10" s="50"/>
      <c r="D10" s="12" t="s">
        <v>24</v>
      </c>
      <c r="E10" s="13">
        <f>ABS(1/2*(tRB-tRA)/(sgmaA+sgmaB))</f>
        <v>1.257552211734605</v>
      </c>
      <c r="F10" s="11" t="s">
        <v>0</v>
      </c>
      <c r="G10" s="24">
        <f>PI()*dint^2/4*Lcm</f>
        <v>1.9634954084936207</v>
      </c>
      <c r="H10" s="11" t="s">
        <v>42</v>
      </c>
      <c r="I10" s="24">
        <f>k_Ret_A*Vmort/Vstat</f>
        <v>0.2642676478050871</v>
      </c>
      <c r="J10" s="26" t="s">
        <v>40</v>
      </c>
      <c r="K10" s="25">
        <f>kretb*Vmort/Vstat</f>
        <v>0.20181977746880211</v>
      </c>
    </row>
    <row r="11" spans="1:11" ht="13.5" thickBot="1">
      <c r="A11" s="8" t="s">
        <v>5</v>
      </c>
      <c r="B11" s="11">
        <f>C11/10</f>
        <v>0.4</v>
      </c>
      <c r="C11">
        <v>4</v>
      </c>
      <c r="D11" s="14" t="s">
        <v>25</v>
      </c>
      <c r="E11" s="15">
        <f>ABS(0.5*Nvrai^0.5*(tRB-tRA)/(tRB+tRA))</f>
        <v>1.2575522117346047</v>
      </c>
      <c r="F11" s="8" t="s">
        <v>45</v>
      </c>
      <c r="G11" s="23">
        <f>porosité*Vint</f>
        <v>0.7853981633974483</v>
      </c>
      <c r="H11" s="25" t="s">
        <v>43</v>
      </c>
      <c r="I11" s="23">
        <f>10^(H20*LOG(xorg/100)+K20)</f>
        <v>0.3964014717076307</v>
      </c>
      <c r="J11" s="25" t="s">
        <v>41</v>
      </c>
      <c r="K11" s="27">
        <f>10^(H21*LOG(xorg/100)+K21)</f>
        <v>0.3027296662032032</v>
      </c>
    </row>
    <row r="12" spans="1:11" ht="16.5" thickBot="1">
      <c r="A12" s="11" t="s">
        <v>6</v>
      </c>
      <c r="B12" s="8">
        <f>C12</f>
        <v>10</v>
      </c>
      <c r="C12">
        <v>10</v>
      </c>
      <c r="D12" s="16" t="s">
        <v>26</v>
      </c>
      <c r="E12" s="17">
        <f>1/4*MAX(NeffA,NeffB)^0.5*(E14-1)/E14</f>
        <v>1.2153733725626532</v>
      </c>
      <c r="F12" s="11" t="s">
        <v>46</v>
      </c>
      <c r="G12" s="24">
        <f>Vint-Vmort</f>
        <v>1.1780972450961724</v>
      </c>
      <c r="H12" s="11" t="s">
        <v>10</v>
      </c>
      <c r="I12" s="24">
        <f>Vmort+I10*Vstat</f>
        <v>1.096731151244667</v>
      </c>
      <c r="J12" s="11" t="s">
        <v>13</v>
      </c>
      <c r="K12" s="9">
        <f>Vmort+K10*Vstat</f>
        <v>1.0231614872393666</v>
      </c>
    </row>
    <row r="13" spans="1:11" ht="16.5" thickBot="1">
      <c r="A13" s="14" t="s">
        <v>7</v>
      </c>
      <c r="B13" s="11">
        <f>C13/10</f>
        <v>0.5</v>
      </c>
      <c r="C13">
        <v>5</v>
      </c>
      <c r="D13" s="12" t="s">
        <v>27</v>
      </c>
      <c r="E13" s="13">
        <f>1/4*Nvrai^0.5*(E14-1)/E14*MAX(k_Ret_A,kretb)/(1+MAX(k_Ret_A,kretb))</f>
        <v>1.2153733725626537</v>
      </c>
      <c r="F13" s="8" t="s">
        <v>17</v>
      </c>
      <c r="G13" s="23">
        <f>Lcm/u</f>
        <v>168.29960644231033</v>
      </c>
      <c r="H13" s="8" t="s">
        <v>11</v>
      </c>
      <c r="I13" s="23">
        <f>VRA/Débit</f>
        <v>3.9168969687309527</v>
      </c>
      <c r="J13" s="8" t="s">
        <v>14</v>
      </c>
      <c r="K13" s="3">
        <f>VRB/Débit</f>
        <v>3.654148168712023</v>
      </c>
    </row>
    <row r="14" spans="1:11" ht="16.5" thickBot="1">
      <c r="A14" s="16" t="s">
        <v>30</v>
      </c>
      <c r="B14" s="8">
        <f>C14</f>
        <v>6</v>
      </c>
      <c r="C14">
        <v>6</v>
      </c>
      <c r="D14" s="11" t="s">
        <v>48</v>
      </c>
      <c r="E14" s="23">
        <f>IF(k_Ret_A&gt;kretb,k_Ret_A/kretb,kretb/k_Ret_A)</f>
        <v>1.3094239381268684</v>
      </c>
      <c r="F14" s="11" t="s">
        <v>16</v>
      </c>
      <c r="G14" s="24">
        <f>tmortsec/60</f>
        <v>2.8049934407051724</v>
      </c>
      <c r="H14" s="11" t="s">
        <v>1</v>
      </c>
      <c r="I14" s="24">
        <f>tRA-tmort</f>
        <v>1.1119035280257803</v>
      </c>
      <c r="J14" s="11" t="s">
        <v>15</v>
      </c>
      <c r="K14" s="9">
        <f>tRB-tmort</f>
        <v>0.8491547280068508</v>
      </c>
    </row>
    <row r="15" spans="1:11" ht="13.5" thickBot="1">
      <c r="A15" s="10" t="s">
        <v>33</v>
      </c>
      <c r="B15" s="11">
        <f>C15/100</f>
        <v>0.28</v>
      </c>
      <c r="C15">
        <v>28</v>
      </c>
      <c r="F15" s="8" t="s">
        <v>34</v>
      </c>
      <c r="G15" s="23">
        <f>Débit/60*Lcm/Vmort</f>
        <v>0.059417845420974266</v>
      </c>
      <c r="H15" s="8" t="s">
        <v>2</v>
      </c>
      <c r="I15" s="23">
        <f>tRedA/tmort</f>
        <v>0.3964014717076304</v>
      </c>
      <c r="J15" s="8" t="s">
        <v>3</v>
      </c>
      <c r="K15" s="3">
        <f>tRedB/tmort</f>
        <v>0.302729666203203</v>
      </c>
    </row>
    <row r="16" spans="6:11" ht="13.5" thickBot="1">
      <c r="F16" s="11" t="s">
        <v>47</v>
      </c>
      <c r="G16" s="24">
        <f>(Astocke+Bstocke/u+Cstocke*u)*10000</f>
        <v>19.039597788638496</v>
      </c>
      <c r="H16" s="18" t="s">
        <v>9</v>
      </c>
      <c r="I16" s="28">
        <f>tRA/Nvrai^0.5</f>
        <v>0.05404693034061529</v>
      </c>
      <c r="J16" s="18" t="s">
        <v>8</v>
      </c>
      <c r="K16" s="28">
        <f>tRB/Nvrai^0.5</f>
        <v>0.05042141600999345</v>
      </c>
    </row>
    <row r="17" spans="1:11" ht="16.5" thickBot="1">
      <c r="A17" s="11" t="s">
        <v>18</v>
      </c>
      <c r="B17" s="9">
        <f>0.5/dpart</f>
        <v>0.08333333333333333</v>
      </c>
      <c r="F17" s="8" t="s">
        <v>39</v>
      </c>
      <c r="G17" s="21">
        <f>Lcm/(hvrai/10000)</f>
        <v>5252.2117909272765</v>
      </c>
      <c r="H17" s="8" t="s">
        <v>12</v>
      </c>
      <c r="I17" s="21">
        <f>tRedA^2/sgmaA^2</f>
        <v>423.24530673678794</v>
      </c>
      <c r="J17" s="8" t="s">
        <v>21</v>
      </c>
      <c r="K17" s="21">
        <f>tRedB^2/sgmaB^2</f>
        <v>283.6243986345035</v>
      </c>
    </row>
    <row r="18" spans="1:16" ht="13.5" customHeight="1" thickBot="1">
      <c r="A18" s="12" t="s">
        <v>32</v>
      </c>
      <c r="B18" s="23">
        <f>Vmort/Lcm*uopt*60</f>
        <v>0.39269908169872414</v>
      </c>
      <c r="J18" s="45"/>
      <c r="K18" s="45"/>
      <c r="L18" s="38"/>
      <c r="M18" s="38"/>
      <c r="N18" s="38"/>
      <c r="O18" s="38"/>
      <c r="P18" s="38"/>
    </row>
    <row r="19" spans="1:16" ht="13.5" customHeight="1" thickBot="1">
      <c r="A19" s="11" t="s">
        <v>31</v>
      </c>
      <c r="B19" s="8">
        <f>3*dpart</f>
        <v>18</v>
      </c>
      <c r="D19" s="55" t="s">
        <v>53</v>
      </c>
      <c r="E19" s="56"/>
      <c r="G19" s="51" t="s">
        <v>54</v>
      </c>
      <c r="H19" s="57"/>
      <c r="I19" s="57"/>
      <c r="J19" s="57"/>
      <c r="K19" s="52"/>
      <c r="M19" s="38"/>
      <c r="N19" s="38"/>
      <c r="O19" s="38"/>
      <c r="P19" s="38"/>
    </row>
    <row r="20" spans="1:16" ht="13.5" thickBot="1">
      <c r="A20" s="8" t="s">
        <v>35</v>
      </c>
      <c r="B20" s="19">
        <v>0</v>
      </c>
      <c r="D20" s="10" t="s">
        <v>62</v>
      </c>
      <c r="E20" s="11">
        <f>F20</f>
        <v>72</v>
      </c>
      <c r="F20">
        <v>72</v>
      </c>
      <c r="G20" s="37" t="s">
        <v>55</v>
      </c>
      <c r="H20" s="37">
        <f>-I20/100</f>
        <v>-2.3</v>
      </c>
      <c r="I20">
        <v>230</v>
      </c>
      <c r="J20" s="37" t="s">
        <v>57</v>
      </c>
      <c r="K20" s="37">
        <f>-L20/100</f>
        <v>-0.73</v>
      </c>
      <c r="L20">
        <v>73</v>
      </c>
      <c r="M20" s="38"/>
      <c r="N20" s="38"/>
      <c r="O20" s="38"/>
      <c r="P20" s="38"/>
    </row>
    <row r="21" spans="1:16" ht="15" thickBot="1">
      <c r="A21" s="11" t="s">
        <v>36</v>
      </c>
      <c r="B21" s="22">
        <f>hopt*0.0001*uopt/2</f>
        <v>7.500000000000001E-05</v>
      </c>
      <c r="G21" s="8" t="s">
        <v>56</v>
      </c>
      <c r="H21" s="8">
        <f>-I21/100</f>
        <v>-1.97</v>
      </c>
      <c r="I21">
        <v>197</v>
      </c>
      <c r="J21" s="8" t="s">
        <v>58</v>
      </c>
      <c r="K21" s="8">
        <f>-L21/100</f>
        <v>-0.8</v>
      </c>
      <c r="L21">
        <v>80</v>
      </c>
      <c r="M21" s="38"/>
      <c r="N21" s="38"/>
      <c r="O21" s="38"/>
      <c r="P21" s="38"/>
    </row>
    <row r="22" spans="1:11" ht="13.5" thickBot="1">
      <c r="A22" s="8" t="s">
        <v>37</v>
      </c>
      <c r="B22" s="20">
        <f>hopt*0.0001/uopt/2</f>
        <v>0.010800000000000002</v>
      </c>
      <c r="H22" s="41"/>
      <c r="K22" s="39"/>
    </row>
    <row r="23" spans="1:11" ht="13.5" thickBot="1">
      <c r="A23" s="11" t="s">
        <v>38</v>
      </c>
      <c r="B23" s="29">
        <f>Lcm/hopt*10000</f>
        <v>5555.555555555556</v>
      </c>
      <c r="G23" s="7"/>
      <c r="H23" s="41"/>
      <c r="I23" s="39"/>
      <c r="J23" s="40"/>
      <c r="K23" s="39"/>
    </row>
    <row r="24" spans="4:11" ht="12.75">
      <c r="D24" s="44"/>
      <c r="E24" s="44"/>
      <c r="H24" s="41"/>
      <c r="I24" s="42"/>
      <c r="J24" s="43"/>
      <c r="K24" s="39"/>
    </row>
    <row r="25" spans="7:11" ht="12.75">
      <c r="G25" s="7"/>
      <c r="H25" s="41"/>
      <c r="I25" s="42"/>
      <c r="J25" s="43"/>
      <c r="K25" s="39"/>
    </row>
    <row r="26" spans="1:11" ht="12.75">
      <c r="A26" s="7"/>
      <c r="B26" s="36"/>
      <c r="C26" s="31"/>
      <c r="D26" s="31"/>
      <c r="G26" s="7"/>
      <c r="H26" s="7"/>
      <c r="I26" s="39"/>
      <c r="J26" s="39"/>
      <c r="K26" s="39"/>
    </row>
    <row r="27" spans="1:4" ht="13.5" thickBot="1">
      <c r="A27" s="7"/>
      <c r="B27" s="36"/>
      <c r="C27" s="31"/>
      <c r="D27" s="31"/>
    </row>
    <row r="28" spans="4:10" ht="13.5" thickBot="1">
      <c r="D28" s="32" t="s">
        <v>4</v>
      </c>
      <c r="E28" s="30" t="s">
        <v>59</v>
      </c>
      <c r="F28" s="24" t="s">
        <v>60</v>
      </c>
      <c r="G28" s="23" t="s">
        <v>49</v>
      </c>
      <c r="I28" s="23" t="s">
        <v>50</v>
      </c>
      <c r="J28" s="23">
        <f>tRA</f>
        <v>3.9168969687309527</v>
      </c>
    </row>
    <row r="29" spans="4:10" ht="13.5" thickBot="1">
      <c r="D29" s="23">
        <v>0</v>
      </c>
      <c r="E29" s="30">
        <f aca="true" t="shared" si="0" ref="E29:E92">1/$I$16*EXP(-((D29-$I$13)^2)/2/$I$16^2)</f>
        <v>0</v>
      </c>
      <c r="F29" s="24">
        <f aca="true" t="shared" si="1" ref="F29:F92">1/$K$16*EXP(-((D29-$K$13)^2)/2/$K$16^2)</f>
        <v>0</v>
      </c>
      <c r="G29" s="23">
        <f>E29+F29</f>
        <v>0</v>
      </c>
      <c r="I29" s="24" t="s">
        <v>51</v>
      </c>
      <c r="J29" s="24">
        <f>tRB</f>
        <v>3.654148168712023</v>
      </c>
    </row>
    <row r="30" spans="4:10" ht="13.5" thickBot="1">
      <c r="D30" s="23">
        <f aca="true" t="shared" si="2" ref="D30:D61">D29+$J$31</f>
        <v>0.043085866656040486</v>
      </c>
      <c r="E30" s="30">
        <f t="shared" si="0"/>
        <v>0</v>
      </c>
      <c r="F30" s="24">
        <f t="shared" si="1"/>
        <v>0</v>
      </c>
      <c r="G30" s="23">
        <f aca="true" t="shared" si="3" ref="G30:G93">E30+F30</f>
        <v>0</v>
      </c>
      <c r="I30" s="23" t="s">
        <v>28</v>
      </c>
      <c r="J30" s="23">
        <f>1.1*MAX(J28:J29)</f>
        <v>4.308586665604048</v>
      </c>
    </row>
    <row r="31" spans="4:10" ht="13.5" thickBot="1">
      <c r="D31" s="23">
        <f t="shared" si="2"/>
        <v>0.08617173331208097</v>
      </c>
      <c r="E31" s="30">
        <f t="shared" si="0"/>
        <v>0</v>
      </c>
      <c r="F31" s="24">
        <f t="shared" si="1"/>
        <v>0</v>
      </c>
      <c r="G31" s="23">
        <f t="shared" si="3"/>
        <v>0</v>
      </c>
      <c r="I31" s="30" t="s">
        <v>29</v>
      </c>
      <c r="J31" s="30">
        <f>J30/100</f>
        <v>0.043085866656040486</v>
      </c>
    </row>
    <row r="32" spans="4:10" ht="13.5" thickBot="1">
      <c r="D32" s="23">
        <f t="shared" si="2"/>
        <v>0.12925759996812147</v>
      </c>
      <c r="E32" s="30">
        <f t="shared" si="0"/>
        <v>0</v>
      </c>
      <c r="F32" s="24">
        <f t="shared" si="1"/>
        <v>0</v>
      </c>
      <c r="G32" s="23">
        <f t="shared" si="3"/>
        <v>0</v>
      </c>
      <c r="I32" s="4"/>
      <c r="J32" s="5"/>
    </row>
    <row r="33" spans="4:10" ht="13.5" thickBot="1">
      <c r="D33" s="23">
        <f t="shared" si="2"/>
        <v>0.17234346662416195</v>
      </c>
      <c r="E33" s="30">
        <f t="shared" si="0"/>
        <v>0</v>
      </c>
      <c r="F33" s="24">
        <f t="shared" si="1"/>
        <v>0</v>
      </c>
      <c r="G33" s="23">
        <f t="shared" si="3"/>
        <v>0</v>
      </c>
      <c r="I33" s="6"/>
      <c r="J33" s="6"/>
    </row>
    <row r="34" spans="4:7" ht="13.5" thickBot="1">
      <c r="D34" s="23">
        <f t="shared" si="2"/>
        <v>0.21542933328020242</v>
      </c>
      <c r="E34" s="30">
        <f t="shared" si="0"/>
        <v>0</v>
      </c>
      <c r="F34" s="24">
        <f t="shared" si="1"/>
        <v>0</v>
      </c>
      <c r="G34" s="23">
        <f t="shared" si="3"/>
        <v>0</v>
      </c>
    </row>
    <row r="35" spans="4:7" ht="13.5" thickBot="1">
      <c r="D35" s="23">
        <f t="shared" si="2"/>
        <v>0.2585151999362429</v>
      </c>
      <c r="E35" s="30">
        <f t="shared" si="0"/>
        <v>0</v>
      </c>
      <c r="F35" s="24">
        <f t="shared" si="1"/>
        <v>0</v>
      </c>
      <c r="G35" s="23">
        <f t="shared" si="3"/>
        <v>0</v>
      </c>
    </row>
    <row r="36" spans="4:7" ht="13.5" thickBot="1">
      <c r="D36" s="23">
        <f t="shared" si="2"/>
        <v>0.30160106659228336</v>
      </c>
      <c r="E36" s="30">
        <f t="shared" si="0"/>
        <v>0</v>
      </c>
      <c r="F36" s="24">
        <f t="shared" si="1"/>
        <v>0</v>
      </c>
      <c r="G36" s="23">
        <f t="shared" si="3"/>
        <v>0</v>
      </c>
    </row>
    <row r="37" spans="4:7" ht="13.5" thickBot="1">
      <c r="D37" s="23">
        <f t="shared" si="2"/>
        <v>0.34468693324832383</v>
      </c>
      <c r="E37" s="30">
        <f t="shared" si="0"/>
        <v>0</v>
      </c>
      <c r="F37" s="24">
        <f t="shared" si="1"/>
        <v>0</v>
      </c>
      <c r="G37" s="23">
        <f t="shared" si="3"/>
        <v>0</v>
      </c>
    </row>
    <row r="38" spans="4:7" ht="13.5" thickBot="1">
      <c r="D38" s="23">
        <f t="shared" si="2"/>
        <v>0.3877727999043643</v>
      </c>
      <c r="E38" s="30">
        <f t="shared" si="0"/>
        <v>0</v>
      </c>
      <c r="F38" s="24">
        <f t="shared" si="1"/>
        <v>0</v>
      </c>
      <c r="G38" s="23">
        <f t="shared" si="3"/>
        <v>0</v>
      </c>
    </row>
    <row r="39" spans="4:7" ht="13.5" thickBot="1">
      <c r="D39" s="23">
        <f t="shared" si="2"/>
        <v>0.4308586665604048</v>
      </c>
      <c r="E39" s="30">
        <f t="shared" si="0"/>
        <v>0</v>
      </c>
      <c r="F39" s="24">
        <f t="shared" si="1"/>
        <v>0</v>
      </c>
      <c r="G39" s="23">
        <f t="shared" si="3"/>
        <v>0</v>
      </c>
    </row>
    <row r="40" spans="4:7" ht="13.5" thickBot="1">
      <c r="D40" s="23">
        <f t="shared" si="2"/>
        <v>0.47394453321644525</v>
      </c>
      <c r="E40" s="30">
        <f t="shared" si="0"/>
        <v>0</v>
      </c>
      <c r="F40" s="24">
        <f t="shared" si="1"/>
        <v>0</v>
      </c>
      <c r="G40" s="23">
        <f t="shared" si="3"/>
        <v>0</v>
      </c>
    </row>
    <row r="41" spans="4:7" ht="13.5" thickBot="1">
      <c r="D41" s="23">
        <f t="shared" si="2"/>
        <v>0.5170303998724858</v>
      </c>
      <c r="E41" s="30">
        <f t="shared" si="0"/>
        <v>0</v>
      </c>
      <c r="F41" s="24">
        <f t="shared" si="1"/>
        <v>0</v>
      </c>
      <c r="G41" s="23">
        <f t="shared" si="3"/>
        <v>0</v>
      </c>
    </row>
    <row r="42" spans="4:7" ht="13.5" thickBot="1">
      <c r="D42" s="23">
        <f t="shared" si="2"/>
        <v>0.5601162665285263</v>
      </c>
      <c r="E42" s="30">
        <f t="shared" si="0"/>
        <v>0</v>
      </c>
      <c r="F42" s="24">
        <f t="shared" si="1"/>
        <v>0</v>
      </c>
      <c r="G42" s="23">
        <f t="shared" si="3"/>
        <v>0</v>
      </c>
    </row>
    <row r="43" spans="4:7" ht="13.5" thickBot="1">
      <c r="D43" s="23">
        <f t="shared" si="2"/>
        <v>0.6032021331845668</v>
      </c>
      <c r="E43" s="30">
        <f t="shared" si="0"/>
        <v>0</v>
      </c>
      <c r="F43" s="24">
        <f t="shared" si="1"/>
        <v>0</v>
      </c>
      <c r="G43" s="23">
        <f t="shared" si="3"/>
        <v>0</v>
      </c>
    </row>
    <row r="44" spans="4:7" ht="13.5" thickBot="1">
      <c r="D44" s="23">
        <f t="shared" si="2"/>
        <v>0.6462879998406074</v>
      </c>
      <c r="E44" s="30">
        <f t="shared" si="0"/>
        <v>0</v>
      </c>
      <c r="F44" s="24">
        <f t="shared" si="1"/>
        <v>0</v>
      </c>
      <c r="G44" s="23">
        <f t="shared" si="3"/>
        <v>0</v>
      </c>
    </row>
    <row r="45" spans="4:7" ht="13.5" thickBot="1">
      <c r="D45" s="23">
        <f t="shared" si="2"/>
        <v>0.6893738664966479</v>
      </c>
      <c r="E45" s="30">
        <f t="shared" si="0"/>
        <v>0</v>
      </c>
      <c r="F45" s="24">
        <f t="shared" si="1"/>
        <v>0</v>
      </c>
      <c r="G45" s="23">
        <f t="shared" si="3"/>
        <v>0</v>
      </c>
    </row>
    <row r="46" spans="4:7" ht="13.5" thickBot="1">
      <c r="D46" s="23">
        <f t="shared" si="2"/>
        <v>0.7324597331526884</v>
      </c>
      <c r="E46" s="30">
        <f t="shared" si="0"/>
        <v>0</v>
      </c>
      <c r="F46" s="24">
        <f t="shared" si="1"/>
        <v>0</v>
      </c>
      <c r="G46" s="23">
        <f t="shared" si="3"/>
        <v>0</v>
      </c>
    </row>
    <row r="47" spans="4:7" ht="13.5" thickBot="1">
      <c r="D47" s="23">
        <f t="shared" si="2"/>
        <v>0.775545599808729</v>
      </c>
      <c r="E47" s="30">
        <f t="shared" si="0"/>
        <v>0</v>
      </c>
      <c r="F47" s="24">
        <f t="shared" si="1"/>
        <v>0</v>
      </c>
      <c r="G47" s="23">
        <f t="shared" si="3"/>
        <v>0</v>
      </c>
    </row>
    <row r="48" spans="4:7" ht="13.5" thickBot="1">
      <c r="D48" s="23">
        <f t="shared" si="2"/>
        <v>0.8186314664647695</v>
      </c>
      <c r="E48" s="30">
        <f t="shared" si="0"/>
        <v>0</v>
      </c>
      <c r="F48" s="24">
        <f t="shared" si="1"/>
        <v>0</v>
      </c>
      <c r="G48" s="23">
        <f t="shared" si="3"/>
        <v>0</v>
      </c>
    </row>
    <row r="49" spans="4:7" ht="13.5" thickBot="1">
      <c r="D49" s="23">
        <f t="shared" si="2"/>
        <v>0.86171733312081</v>
      </c>
      <c r="E49" s="30">
        <f t="shared" si="0"/>
        <v>0</v>
      </c>
      <c r="F49" s="24">
        <f t="shared" si="1"/>
        <v>0</v>
      </c>
      <c r="G49" s="23">
        <f t="shared" si="3"/>
        <v>0</v>
      </c>
    </row>
    <row r="50" spans="4:7" ht="13.5" thickBot="1">
      <c r="D50" s="23">
        <f t="shared" si="2"/>
        <v>0.9048031997768505</v>
      </c>
      <c r="E50" s="30">
        <f t="shared" si="0"/>
        <v>0</v>
      </c>
      <c r="F50" s="24">
        <f t="shared" si="1"/>
        <v>0</v>
      </c>
      <c r="G50" s="23">
        <f t="shared" si="3"/>
        <v>0</v>
      </c>
    </row>
    <row r="51" spans="4:7" ht="13.5" thickBot="1">
      <c r="D51" s="23">
        <f t="shared" si="2"/>
        <v>0.9478890664328911</v>
      </c>
      <c r="E51" s="30">
        <f t="shared" si="0"/>
        <v>0</v>
      </c>
      <c r="F51" s="24">
        <f t="shared" si="1"/>
        <v>0</v>
      </c>
      <c r="G51" s="23">
        <f t="shared" si="3"/>
        <v>0</v>
      </c>
    </row>
    <row r="52" spans="4:7" ht="13.5" thickBot="1">
      <c r="D52" s="23">
        <f t="shared" si="2"/>
        <v>0.9909749330889316</v>
      </c>
      <c r="E52" s="30">
        <f t="shared" si="0"/>
        <v>0</v>
      </c>
      <c r="F52" s="24">
        <f t="shared" si="1"/>
        <v>0</v>
      </c>
      <c r="G52" s="23">
        <f t="shared" si="3"/>
        <v>0</v>
      </c>
    </row>
    <row r="53" spans="4:7" ht="13.5" thickBot="1">
      <c r="D53" s="23">
        <f t="shared" si="2"/>
        <v>1.034060799744972</v>
      </c>
      <c r="E53" s="30">
        <f t="shared" si="0"/>
        <v>0</v>
      </c>
      <c r="F53" s="24">
        <f t="shared" si="1"/>
        <v>0</v>
      </c>
      <c r="G53" s="23">
        <f t="shared" si="3"/>
        <v>0</v>
      </c>
    </row>
    <row r="54" spans="4:7" ht="13.5" thickBot="1">
      <c r="D54" s="23">
        <f t="shared" si="2"/>
        <v>1.0771466664010125</v>
      </c>
      <c r="E54" s="30">
        <f t="shared" si="0"/>
        <v>0</v>
      </c>
      <c r="F54" s="24">
        <f t="shared" si="1"/>
        <v>0</v>
      </c>
      <c r="G54" s="23">
        <f t="shared" si="3"/>
        <v>0</v>
      </c>
    </row>
    <row r="55" spans="4:7" ht="13.5" thickBot="1">
      <c r="D55" s="23">
        <f t="shared" si="2"/>
        <v>1.120232533057053</v>
      </c>
      <c r="E55" s="30">
        <f t="shared" si="0"/>
        <v>0</v>
      </c>
      <c r="F55" s="24">
        <f t="shared" si="1"/>
        <v>0</v>
      </c>
      <c r="G55" s="23">
        <f t="shared" si="3"/>
        <v>0</v>
      </c>
    </row>
    <row r="56" spans="4:7" ht="13.5" thickBot="1">
      <c r="D56" s="23">
        <f t="shared" si="2"/>
        <v>1.1633183997130936</v>
      </c>
      <c r="E56" s="30">
        <f t="shared" si="0"/>
        <v>0</v>
      </c>
      <c r="F56" s="24">
        <f t="shared" si="1"/>
        <v>0</v>
      </c>
      <c r="G56" s="23">
        <f t="shared" si="3"/>
        <v>0</v>
      </c>
    </row>
    <row r="57" spans="4:7" ht="13.5" thickBot="1">
      <c r="D57" s="23">
        <f t="shared" si="2"/>
        <v>1.2064042663691341</v>
      </c>
      <c r="E57" s="30">
        <f t="shared" si="0"/>
        <v>0</v>
      </c>
      <c r="F57" s="24">
        <f t="shared" si="1"/>
        <v>0</v>
      </c>
      <c r="G57" s="23">
        <f t="shared" si="3"/>
        <v>0</v>
      </c>
    </row>
    <row r="58" spans="1:7" ht="13.5" thickBot="1">
      <c r="A58" s="4"/>
      <c r="B58" s="46"/>
      <c r="D58" s="23">
        <f t="shared" si="2"/>
        <v>1.2494901330251746</v>
      </c>
      <c r="E58" s="30">
        <f t="shared" si="0"/>
        <v>0</v>
      </c>
      <c r="F58" s="24">
        <f t="shared" si="1"/>
        <v>0</v>
      </c>
      <c r="G58" s="23">
        <f t="shared" si="3"/>
        <v>0</v>
      </c>
    </row>
    <row r="59" spans="4:7" ht="13.5" thickBot="1">
      <c r="D59" s="23">
        <f t="shared" si="2"/>
        <v>1.2925759996812152</v>
      </c>
      <c r="E59" s="30">
        <f t="shared" si="0"/>
        <v>0</v>
      </c>
      <c r="F59" s="24">
        <f t="shared" si="1"/>
        <v>0</v>
      </c>
      <c r="G59" s="23">
        <f t="shared" si="3"/>
        <v>0</v>
      </c>
    </row>
    <row r="60" spans="4:7" ht="13.5" thickBot="1">
      <c r="D60" s="23">
        <f t="shared" si="2"/>
        <v>1.3356618663372557</v>
      </c>
      <c r="E60" s="30">
        <f t="shared" si="0"/>
        <v>0</v>
      </c>
      <c r="F60" s="24">
        <f t="shared" si="1"/>
        <v>0</v>
      </c>
      <c r="G60" s="23">
        <f t="shared" si="3"/>
        <v>0</v>
      </c>
    </row>
    <row r="61" spans="4:7" ht="13.5" thickBot="1">
      <c r="D61" s="23">
        <f t="shared" si="2"/>
        <v>1.3787477329932962</v>
      </c>
      <c r="E61" s="30">
        <f t="shared" si="0"/>
        <v>0</v>
      </c>
      <c r="F61" s="24">
        <f t="shared" si="1"/>
        <v>0</v>
      </c>
      <c r="G61" s="23">
        <f t="shared" si="3"/>
        <v>0</v>
      </c>
    </row>
    <row r="62" spans="4:7" ht="13.5" thickBot="1">
      <c r="D62" s="23">
        <f aca="true" t="shared" si="4" ref="D62:D93">D61+$J$31</f>
        <v>1.4218335996493368</v>
      </c>
      <c r="E62" s="30">
        <f t="shared" si="0"/>
        <v>0</v>
      </c>
      <c r="F62" s="24">
        <f t="shared" si="1"/>
        <v>0</v>
      </c>
      <c r="G62" s="23">
        <f t="shared" si="3"/>
        <v>0</v>
      </c>
    </row>
    <row r="63" spans="4:7" ht="13.5" thickBot="1">
      <c r="D63" s="23">
        <f t="shared" si="4"/>
        <v>1.4649194663053773</v>
      </c>
      <c r="E63" s="30">
        <f t="shared" si="0"/>
        <v>0</v>
      </c>
      <c r="F63" s="24">
        <f t="shared" si="1"/>
        <v>0</v>
      </c>
      <c r="G63" s="23">
        <f t="shared" si="3"/>
        <v>0</v>
      </c>
    </row>
    <row r="64" spans="4:7" ht="13.5" thickBot="1">
      <c r="D64" s="23">
        <f t="shared" si="4"/>
        <v>1.5080053329614178</v>
      </c>
      <c r="E64" s="30">
        <f t="shared" si="0"/>
        <v>0</v>
      </c>
      <c r="F64" s="24">
        <f t="shared" si="1"/>
        <v>0</v>
      </c>
      <c r="G64" s="23">
        <f t="shared" si="3"/>
        <v>0</v>
      </c>
    </row>
    <row r="65" spans="4:7" ht="13.5" thickBot="1">
      <c r="D65" s="23">
        <f t="shared" si="4"/>
        <v>1.5510911996174583</v>
      </c>
      <c r="E65" s="30">
        <f t="shared" si="0"/>
        <v>0</v>
      </c>
      <c r="F65" s="24">
        <f t="shared" si="1"/>
        <v>0</v>
      </c>
      <c r="G65" s="23">
        <f t="shared" si="3"/>
        <v>0</v>
      </c>
    </row>
    <row r="66" spans="4:7" ht="13.5" thickBot="1">
      <c r="D66" s="23">
        <f t="shared" si="4"/>
        <v>1.5941770662734989</v>
      </c>
      <c r="E66" s="30">
        <f t="shared" si="0"/>
        <v>0</v>
      </c>
      <c r="F66" s="24">
        <f t="shared" si="1"/>
        <v>0</v>
      </c>
      <c r="G66" s="23">
        <f t="shared" si="3"/>
        <v>0</v>
      </c>
    </row>
    <row r="67" spans="4:7" ht="13.5" thickBot="1">
      <c r="D67" s="23">
        <f t="shared" si="4"/>
        <v>1.6372629329295394</v>
      </c>
      <c r="E67" s="30">
        <f t="shared" si="0"/>
        <v>0</v>
      </c>
      <c r="F67" s="24">
        <f t="shared" si="1"/>
        <v>0</v>
      </c>
      <c r="G67" s="23">
        <f t="shared" si="3"/>
        <v>0</v>
      </c>
    </row>
    <row r="68" spans="1:7" ht="13.5" thickBot="1">
      <c r="A68" s="7"/>
      <c r="B68" s="5"/>
      <c r="D68" s="23">
        <f t="shared" si="4"/>
        <v>1.68034879958558</v>
      </c>
      <c r="E68" s="30">
        <f t="shared" si="0"/>
        <v>0</v>
      </c>
      <c r="F68" s="24">
        <f t="shared" si="1"/>
        <v>0</v>
      </c>
      <c r="G68" s="23">
        <f t="shared" si="3"/>
        <v>0</v>
      </c>
    </row>
    <row r="69" spans="4:7" ht="13.5" thickBot="1">
      <c r="D69" s="23">
        <f t="shared" si="4"/>
        <v>1.7234346662416204</v>
      </c>
      <c r="E69" s="30">
        <f t="shared" si="0"/>
        <v>0</v>
      </c>
      <c r="F69" s="24">
        <f t="shared" si="1"/>
        <v>0</v>
      </c>
      <c r="G69" s="23">
        <f t="shared" si="3"/>
        <v>0</v>
      </c>
    </row>
    <row r="70" spans="4:7" ht="13.5" thickBot="1">
      <c r="D70" s="23">
        <f t="shared" si="4"/>
        <v>1.766520532897661</v>
      </c>
      <c r="E70" s="30">
        <f t="shared" si="0"/>
        <v>0</v>
      </c>
      <c r="F70" s="24">
        <f t="shared" si="1"/>
        <v>9.09675458915213E-304</v>
      </c>
      <c r="G70" s="23">
        <f t="shared" si="3"/>
        <v>9.09675458915213E-304</v>
      </c>
    </row>
    <row r="71" spans="4:7" ht="13.5" thickBot="1">
      <c r="D71" s="23">
        <f t="shared" si="4"/>
        <v>1.8096063995537015</v>
      </c>
      <c r="E71" s="30">
        <f t="shared" si="0"/>
        <v>0</v>
      </c>
      <c r="F71" s="24">
        <f t="shared" si="1"/>
        <v>4.938849534093872E-290</v>
      </c>
      <c r="G71" s="23">
        <f t="shared" si="3"/>
        <v>4.938849534093872E-290</v>
      </c>
    </row>
    <row r="72" spans="4:7" ht="13.5" thickBot="1">
      <c r="D72" s="23">
        <f t="shared" si="4"/>
        <v>1.852692266209742</v>
      </c>
      <c r="E72" s="30">
        <f t="shared" si="0"/>
        <v>0</v>
      </c>
      <c r="F72" s="24">
        <f t="shared" si="1"/>
        <v>1.2919476486835286E-276</v>
      </c>
      <c r="G72" s="23">
        <f t="shared" si="3"/>
        <v>1.2919476486835286E-276</v>
      </c>
    </row>
    <row r="73" spans="4:7" ht="13.5" thickBot="1">
      <c r="D73" s="23">
        <f t="shared" si="4"/>
        <v>1.8957781328657826</v>
      </c>
      <c r="E73" s="30">
        <f t="shared" si="0"/>
        <v>3.993765036314232E-303</v>
      </c>
      <c r="F73" s="24">
        <f t="shared" si="1"/>
        <v>1.6283353095334083E-263</v>
      </c>
      <c r="G73" s="23">
        <f t="shared" si="3"/>
        <v>1.6283353095334083E-263</v>
      </c>
    </row>
    <row r="74" spans="4:7" ht="13.5" thickBot="1">
      <c r="D74" s="23">
        <f t="shared" si="4"/>
        <v>1.938863999521823</v>
      </c>
      <c r="E74" s="30">
        <f t="shared" si="0"/>
        <v>2.5726165842295324E-290</v>
      </c>
      <c r="F74" s="24">
        <f t="shared" si="1"/>
        <v>9.888321286818385E-251</v>
      </c>
      <c r="G74" s="23">
        <f t="shared" si="3"/>
        <v>9.888321286818385E-251</v>
      </c>
    </row>
    <row r="75" spans="4:7" ht="13.5" thickBot="1">
      <c r="D75" s="23">
        <f t="shared" si="4"/>
        <v>1.9819498661778636</v>
      </c>
      <c r="E75" s="30">
        <f t="shared" si="0"/>
        <v>8.7773985975385E-278</v>
      </c>
      <c r="F75" s="24">
        <f t="shared" si="1"/>
        <v>2.8932176194807386E-238</v>
      </c>
      <c r="G75" s="23">
        <f t="shared" si="3"/>
        <v>2.8932176194807386E-238</v>
      </c>
    </row>
    <row r="76" spans="4:7" ht="13.5" thickBot="1">
      <c r="D76" s="23">
        <f t="shared" si="4"/>
        <v>2.025035732833904</v>
      </c>
      <c r="E76" s="30">
        <f t="shared" si="0"/>
        <v>1.586188432531146E-265</v>
      </c>
      <c r="F76" s="24">
        <f t="shared" si="1"/>
        <v>4.078678161507353E-226</v>
      </c>
      <c r="G76" s="23">
        <f t="shared" si="3"/>
        <v>4.078678161507353E-226</v>
      </c>
    </row>
    <row r="77" spans="4:7" ht="13.5" thickBot="1">
      <c r="D77" s="23">
        <f t="shared" si="4"/>
        <v>2.0681215994899445</v>
      </c>
      <c r="E77" s="30">
        <f t="shared" si="0"/>
        <v>1.518245272473528E-253</v>
      </c>
      <c r="F77" s="24">
        <f t="shared" si="1"/>
        <v>2.770368737806582E-214</v>
      </c>
      <c r="G77" s="23">
        <f t="shared" si="3"/>
        <v>2.770368737806582E-214</v>
      </c>
    </row>
    <row r="78" spans="1:7" ht="13.5" thickBot="1">
      <c r="A78" s="1"/>
      <c r="D78" s="23">
        <f t="shared" si="4"/>
        <v>2.1112074661459848</v>
      </c>
      <c r="E78" s="30">
        <f t="shared" si="0"/>
        <v>7.69710299922937E-242</v>
      </c>
      <c r="F78" s="24">
        <f t="shared" si="1"/>
        <v>9.066413489345306E-203</v>
      </c>
      <c r="G78" s="23">
        <f t="shared" si="3"/>
        <v>9.066413489345306E-203</v>
      </c>
    </row>
    <row r="79" spans="1:7" ht="13.5" thickBot="1">
      <c r="A79" s="1"/>
      <c r="D79" s="23">
        <f t="shared" si="4"/>
        <v>2.154293332802025</v>
      </c>
      <c r="E79" s="30">
        <f t="shared" si="0"/>
        <v>2.0668590478337913E-230</v>
      </c>
      <c r="F79" s="24">
        <f t="shared" si="1"/>
        <v>1.4295958210405694E-191</v>
      </c>
      <c r="G79" s="23">
        <f t="shared" si="3"/>
        <v>1.4295958210405694E-191</v>
      </c>
    </row>
    <row r="80" spans="1:7" ht="13.5" thickBot="1">
      <c r="A80" s="1"/>
      <c r="D80" s="23">
        <f t="shared" si="4"/>
        <v>2.1973791994580654</v>
      </c>
      <c r="E80" s="30">
        <f t="shared" si="0"/>
        <v>2.939629683771594E-219</v>
      </c>
      <c r="F80" s="24">
        <f t="shared" si="1"/>
        <v>1.0861025215115767E-180</v>
      </c>
      <c r="G80" s="23">
        <f t="shared" si="3"/>
        <v>1.0861025215115767E-180</v>
      </c>
    </row>
    <row r="81" spans="1:7" ht="13.5" thickBot="1">
      <c r="A81" s="1"/>
      <c r="D81" s="23">
        <f t="shared" si="4"/>
        <v>2.2404650661141057</v>
      </c>
      <c r="E81" s="30">
        <f t="shared" si="0"/>
        <v>2.214484217840405E-208</v>
      </c>
      <c r="F81" s="24">
        <f t="shared" si="1"/>
        <v>3.9756503109441864E-170</v>
      </c>
      <c r="G81" s="23">
        <f t="shared" si="3"/>
        <v>3.9756503109441864E-170</v>
      </c>
    </row>
    <row r="82" spans="4:7" ht="13.5" thickBot="1">
      <c r="D82" s="23">
        <f t="shared" si="4"/>
        <v>2.283550932770146</v>
      </c>
      <c r="E82" s="30">
        <f t="shared" si="0"/>
        <v>8.835899274190907E-198</v>
      </c>
      <c r="F82" s="24">
        <f t="shared" si="1"/>
        <v>7.011732474607801E-160</v>
      </c>
      <c r="G82" s="23">
        <f t="shared" si="3"/>
        <v>7.011732474607801E-160</v>
      </c>
    </row>
    <row r="83" spans="4:7" ht="13.5" thickBot="1">
      <c r="D83" s="23">
        <f t="shared" si="4"/>
        <v>2.3266367994261863</v>
      </c>
      <c r="E83" s="30">
        <f t="shared" si="0"/>
        <v>1.8673560151108134E-187</v>
      </c>
      <c r="F83" s="24">
        <f t="shared" si="1"/>
        <v>5.958299112268621E-150</v>
      </c>
      <c r="G83" s="23">
        <f t="shared" si="3"/>
        <v>5.958299112268621E-150</v>
      </c>
    </row>
    <row r="84" spans="4:7" ht="13.5" thickBot="1">
      <c r="D84" s="23">
        <f t="shared" si="4"/>
        <v>2.3697226660822266</v>
      </c>
      <c r="E84" s="30">
        <f t="shared" si="0"/>
        <v>2.0902666669919264E-177</v>
      </c>
      <c r="F84" s="24">
        <f t="shared" si="1"/>
        <v>2.4394901510801953E-140</v>
      </c>
      <c r="G84" s="23">
        <f t="shared" si="3"/>
        <v>2.4394901510801953E-140</v>
      </c>
    </row>
    <row r="85" spans="4:7" ht="13.5" thickBot="1">
      <c r="D85" s="23">
        <f t="shared" si="4"/>
        <v>2.412808532738267</v>
      </c>
      <c r="E85" s="30">
        <f t="shared" si="0"/>
        <v>1.2392943412431908E-167</v>
      </c>
      <c r="F85" s="24">
        <f t="shared" si="1"/>
        <v>4.812332656353827E-131</v>
      </c>
      <c r="G85" s="23">
        <f t="shared" si="3"/>
        <v>4.812332656353827E-131</v>
      </c>
    </row>
    <row r="86" spans="4:7" ht="13.5" thickBot="1">
      <c r="D86" s="23">
        <f t="shared" si="4"/>
        <v>2.455894399394307</v>
      </c>
      <c r="E86" s="30">
        <f t="shared" si="0"/>
        <v>3.891754532461143E-158</v>
      </c>
      <c r="F86" s="24">
        <f t="shared" si="1"/>
        <v>4.5739563543184134E-122</v>
      </c>
      <c r="G86" s="23">
        <f t="shared" si="3"/>
        <v>4.5739563543184134E-122</v>
      </c>
    </row>
    <row r="87" spans="4:7" ht="13.5" thickBot="1">
      <c r="D87" s="23">
        <f t="shared" si="4"/>
        <v>2.4989802660503475</v>
      </c>
      <c r="E87" s="30">
        <f t="shared" si="0"/>
        <v>6.473134257108692E-149</v>
      </c>
      <c r="F87" s="24">
        <f t="shared" si="1"/>
        <v>2.0946342260788135E-113</v>
      </c>
      <c r="G87" s="23">
        <f t="shared" si="3"/>
        <v>2.0946342260788135E-113</v>
      </c>
    </row>
    <row r="88" spans="4:7" ht="13.5" thickBot="1">
      <c r="D88" s="23">
        <f t="shared" si="4"/>
        <v>2.542066132706388</v>
      </c>
      <c r="E88" s="30">
        <f t="shared" si="0"/>
        <v>5.702719245048641E-140</v>
      </c>
      <c r="F88" s="24">
        <f t="shared" si="1"/>
        <v>4.621725832375377E-105</v>
      </c>
      <c r="G88" s="23">
        <f t="shared" si="3"/>
        <v>4.621725832375377E-105</v>
      </c>
    </row>
    <row r="89" spans="4:7" ht="13.5" thickBot="1">
      <c r="D89" s="23">
        <f t="shared" si="4"/>
        <v>2.585151999362428</v>
      </c>
      <c r="E89" s="30">
        <f t="shared" si="0"/>
        <v>2.6610165091487095E-131</v>
      </c>
      <c r="F89" s="24">
        <f t="shared" si="1"/>
        <v>4.913375615751162E-97</v>
      </c>
      <c r="G89" s="23">
        <f t="shared" si="3"/>
        <v>4.913375615751162E-97</v>
      </c>
    </row>
    <row r="90" spans="4:7" ht="13.5" thickBot="1">
      <c r="D90" s="23">
        <f t="shared" si="4"/>
        <v>2.6282378660184684</v>
      </c>
      <c r="E90" s="30">
        <f t="shared" si="0"/>
        <v>6.576750226962828E-123</v>
      </c>
      <c r="F90" s="24">
        <f t="shared" si="1"/>
        <v>2.5167238069831772E-89</v>
      </c>
      <c r="G90" s="23">
        <f t="shared" si="3"/>
        <v>2.5167238069831772E-89</v>
      </c>
    </row>
    <row r="91" spans="4:7" ht="13.5" thickBot="1">
      <c r="D91" s="23">
        <f t="shared" si="4"/>
        <v>2.6713237326745087</v>
      </c>
      <c r="E91" s="30">
        <f t="shared" si="0"/>
        <v>8.609408792933835E-115</v>
      </c>
      <c r="F91" s="24">
        <f t="shared" si="1"/>
        <v>6.21113476602538E-82</v>
      </c>
      <c r="G91" s="23">
        <f t="shared" si="3"/>
        <v>6.21113476602538E-82</v>
      </c>
    </row>
    <row r="92" spans="4:7" ht="13.5" thickBot="1">
      <c r="D92" s="23">
        <f t="shared" si="4"/>
        <v>2.714409599330549</v>
      </c>
      <c r="E92" s="30">
        <f t="shared" si="0"/>
        <v>5.969438911281332E-107</v>
      </c>
      <c r="F92" s="24">
        <f t="shared" si="1"/>
        <v>7.385606269432984E-75</v>
      </c>
      <c r="G92" s="23">
        <f t="shared" si="3"/>
        <v>7.385606269432984E-75</v>
      </c>
    </row>
    <row r="93" spans="4:7" ht="13.5" thickBot="1">
      <c r="D93" s="23">
        <f t="shared" si="4"/>
        <v>2.7574954659865893</v>
      </c>
      <c r="E93" s="30">
        <f aca="true" t="shared" si="5" ref="E93:E149">1/$I$16*EXP(-((D93-$I$13)^2)/2/$I$16^2)</f>
        <v>2.192259175151646E-99</v>
      </c>
      <c r="F93" s="24">
        <f aca="true" t="shared" si="6" ref="F93:F149">1/$K$16*EXP(-((D93-$K$13)^2)/2/$K$16^2)</f>
        <v>4.231371478756377E-68</v>
      </c>
      <c r="G93" s="23">
        <f t="shared" si="3"/>
        <v>4.231371478756377E-68</v>
      </c>
    </row>
    <row r="94" spans="4:7" ht="13.5" thickBot="1">
      <c r="D94" s="23">
        <f aca="true" t="shared" si="7" ref="D94:D125">D93+$J$31</f>
        <v>2.8005813326426297</v>
      </c>
      <c r="E94" s="30">
        <f t="shared" si="5"/>
        <v>4.2643071854534336E-92</v>
      </c>
      <c r="F94" s="24">
        <f t="shared" si="6"/>
        <v>1.1680352816281094E-61</v>
      </c>
      <c r="G94" s="23">
        <f aca="true" t="shared" si="8" ref="G94:G149">E94+F94</f>
        <v>1.1680352816281094E-61</v>
      </c>
    </row>
    <row r="95" spans="4:7" ht="13.5" thickBot="1">
      <c r="D95" s="23">
        <f t="shared" si="7"/>
        <v>2.84366719929867</v>
      </c>
      <c r="E95" s="30">
        <f t="shared" si="5"/>
        <v>4.3934255315931915E-85</v>
      </c>
      <c r="F95" s="24">
        <f t="shared" si="6"/>
        <v>1.5534975477138819E-55</v>
      </c>
      <c r="G95" s="23">
        <f t="shared" si="8"/>
        <v>1.5534975477138819E-55</v>
      </c>
    </row>
    <row r="96" spans="4:7" ht="13.5" thickBot="1">
      <c r="D96" s="23">
        <f t="shared" si="7"/>
        <v>2.8867530659547103</v>
      </c>
      <c r="E96" s="30">
        <f t="shared" si="5"/>
        <v>2.3974869861722555E-78</v>
      </c>
      <c r="F96" s="24">
        <f t="shared" si="6"/>
        <v>9.955085325278294E-50</v>
      </c>
      <c r="G96" s="23">
        <f t="shared" si="8"/>
        <v>9.955085325278294E-50</v>
      </c>
    </row>
    <row r="97" spans="4:7" ht="13.5" thickBot="1">
      <c r="D97" s="23">
        <f t="shared" si="7"/>
        <v>2.9298389326107506</v>
      </c>
      <c r="E97" s="30">
        <f t="shared" si="5"/>
        <v>6.929588552568383E-72</v>
      </c>
      <c r="F97" s="24">
        <f t="shared" si="6"/>
        <v>3.0736839216509135E-44</v>
      </c>
      <c r="G97" s="23">
        <f t="shared" si="8"/>
        <v>3.0736839216509135E-44</v>
      </c>
    </row>
    <row r="98" spans="4:7" ht="13.5" thickBot="1">
      <c r="D98" s="23">
        <f t="shared" si="7"/>
        <v>2.972924799266791</v>
      </c>
      <c r="E98" s="30">
        <f t="shared" si="5"/>
        <v>1.0608569868654043E-65</v>
      </c>
      <c r="F98" s="24">
        <f t="shared" si="6"/>
        <v>4.5724948802690634E-39</v>
      </c>
      <c r="G98" s="23">
        <f t="shared" si="8"/>
        <v>4.5724948802690634E-39</v>
      </c>
    </row>
    <row r="99" spans="4:7" ht="13.5" thickBot="1">
      <c r="D99" s="23">
        <f t="shared" si="7"/>
        <v>3.016010665922831</v>
      </c>
      <c r="E99" s="30">
        <f t="shared" si="5"/>
        <v>8.602098964185861E-60</v>
      </c>
      <c r="F99" s="24">
        <f t="shared" si="6"/>
        <v>3.277381925879976E-34</v>
      </c>
      <c r="G99" s="23">
        <f t="shared" si="8"/>
        <v>3.277381925879976E-34</v>
      </c>
    </row>
    <row r="100" spans="4:7" ht="13.5" thickBot="1">
      <c r="D100" s="23">
        <f t="shared" si="7"/>
        <v>3.0590965325788715</v>
      </c>
      <c r="E100" s="30">
        <f t="shared" si="5"/>
        <v>3.694453713995482E-54</v>
      </c>
      <c r="F100" s="24">
        <f t="shared" si="6"/>
        <v>1.1318286543357246E-29</v>
      </c>
      <c r="G100" s="23">
        <f t="shared" si="8"/>
        <v>1.1318286543357246E-29</v>
      </c>
    </row>
    <row r="101" spans="4:7" ht="13.5" thickBot="1">
      <c r="D101" s="23">
        <f t="shared" si="7"/>
        <v>3.102182399234912</v>
      </c>
      <c r="E101" s="30">
        <f t="shared" si="5"/>
        <v>8.404158348429798E-49</v>
      </c>
      <c r="F101" s="24">
        <f t="shared" si="6"/>
        <v>1.8832766378936621E-25</v>
      </c>
      <c r="G101" s="23">
        <f t="shared" si="8"/>
        <v>1.8832766378936621E-25</v>
      </c>
    </row>
    <row r="102" spans="4:7" ht="13.5" thickBot="1">
      <c r="D102" s="23">
        <f t="shared" si="7"/>
        <v>3.145268265890952</v>
      </c>
      <c r="E102" s="30">
        <f t="shared" si="5"/>
        <v>1.0125965071526437E-43</v>
      </c>
      <c r="F102" s="24">
        <f t="shared" si="6"/>
        <v>1.5098275899237445E-21</v>
      </c>
      <c r="G102" s="23">
        <f t="shared" si="8"/>
        <v>1.5098275899237445E-21</v>
      </c>
    </row>
    <row r="103" spans="4:7" ht="13.5" thickBot="1">
      <c r="D103" s="23">
        <f t="shared" si="7"/>
        <v>3.1883541325469924</v>
      </c>
      <c r="E103" s="30">
        <f t="shared" si="5"/>
        <v>6.462146878873864E-39</v>
      </c>
      <c r="F103" s="24">
        <f t="shared" si="6"/>
        <v>5.832038728929537E-18</v>
      </c>
      <c r="G103" s="23">
        <f t="shared" si="8"/>
        <v>5.832038728929537E-18</v>
      </c>
    </row>
    <row r="104" spans="4:7" ht="13.5" thickBot="1">
      <c r="D104" s="23">
        <f t="shared" si="7"/>
        <v>3.2314399992030327</v>
      </c>
      <c r="E104" s="30">
        <f t="shared" si="5"/>
        <v>2.1843157960497364E-34</v>
      </c>
      <c r="F104" s="24">
        <f t="shared" si="6"/>
        <v>1.085408567771046E-14</v>
      </c>
      <c r="G104" s="23">
        <f t="shared" si="8"/>
        <v>1.085408567771046E-14</v>
      </c>
    </row>
    <row r="105" spans="4:7" ht="13.5" thickBot="1">
      <c r="D105" s="23">
        <f t="shared" si="7"/>
        <v>3.274525865859073</v>
      </c>
      <c r="E105" s="30">
        <f t="shared" si="5"/>
        <v>3.9106795423672965E-30</v>
      </c>
      <c r="F105" s="24">
        <f t="shared" si="6"/>
        <v>9.732981443593107E-12</v>
      </c>
      <c r="G105" s="23">
        <f t="shared" si="8"/>
        <v>9.732981443593107E-12</v>
      </c>
    </row>
    <row r="106" spans="4:7" ht="13.5" thickBot="1">
      <c r="D106" s="23">
        <f t="shared" si="7"/>
        <v>3.3176117325151133</v>
      </c>
      <c r="E106" s="30">
        <f t="shared" si="5"/>
        <v>3.708405650319898E-26</v>
      </c>
      <c r="F106" s="24">
        <f t="shared" si="6"/>
        <v>4.205119570556335E-09</v>
      </c>
      <c r="G106" s="23">
        <f t="shared" si="8"/>
        <v>4.205119570556335E-09</v>
      </c>
    </row>
    <row r="107" spans="4:7" ht="13.5" thickBot="1">
      <c r="D107" s="23">
        <f t="shared" si="7"/>
        <v>3.3606975991711536</v>
      </c>
      <c r="E107" s="30">
        <f t="shared" si="5"/>
        <v>1.8626036099119764E-22</v>
      </c>
      <c r="F107" s="24">
        <f t="shared" si="6"/>
        <v>8.753678802764509E-07</v>
      </c>
      <c r="G107" s="23">
        <f t="shared" si="8"/>
        <v>8.753678802764511E-07</v>
      </c>
    </row>
    <row r="108" spans="4:7" ht="13.5" thickBot="1">
      <c r="D108" s="23">
        <f t="shared" si="7"/>
        <v>3.403783465827194</v>
      </c>
      <c r="E108" s="30">
        <f t="shared" si="5"/>
        <v>4.95509343494001E-19</v>
      </c>
      <c r="F108" s="24">
        <f t="shared" si="6"/>
        <v>8.779760494073136E-05</v>
      </c>
      <c r="G108" s="23">
        <f t="shared" si="8"/>
        <v>8.779760494073187E-05</v>
      </c>
    </row>
    <row r="109" spans="4:7" ht="13.5" thickBot="1">
      <c r="D109" s="23">
        <f t="shared" si="7"/>
        <v>3.4468693324832342</v>
      </c>
      <c r="E109" s="30">
        <f t="shared" si="5"/>
        <v>6.982025931284191E-16</v>
      </c>
      <c r="F109" s="24">
        <f t="shared" si="6"/>
        <v>0.004242819287586809</v>
      </c>
      <c r="G109" s="23">
        <f t="shared" si="8"/>
        <v>0.004242819287587507</v>
      </c>
    </row>
    <row r="110" spans="4:7" ht="13.5" thickBot="1">
      <c r="D110" s="23">
        <f t="shared" si="7"/>
        <v>3.4899551991392745</v>
      </c>
      <c r="E110" s="30">
        <f t="shared" si="5"/>
        <v>5.21085835891583E-13</v>
      </c>
      <c r="F110" s="24">
        <f t="shared" si="6"/>
        <v>0.0987884574305068</v>
      </c>
      <c r="G110" s="23">
        <f t="shared" si="8"/>
        <v>0.09878845743102788</v>
      </c>
    </row>
    <row r="111" spans="4:7" ht="13.5" thickBot="1">
      <c r="D111" s="23">
        <f t="shared" si="7"/>
        <v>3.533041065795315</v>
      </c>
      <c r="E111" s="30">
        <f t="shared" si="5"/>
        <v>2.0598485061119157E-10</v>
      </c>
      <c r="F111" s="24">
        <f t="shared" si="6"/>
        <v>1.1082498406358363</v>
      </c>
      <c r="G111" s="23">
        <f t="shared" si="8"/>
        <v>1.108249840841821</v>
      </c>
    </row>
    <row r="112" spans="4:7" ht="13.5" thickBot="1">
      <c r="D112" s="23">
        <f t="shared" si="7"/>
        <v>3.576126932451355</v>
      </c>
      <c r="E112" s="30">
        <f t="shared" si="5"/>
        <v>4.312801748840787E-08</v>
      </c>
      <c r="F112" s="24">
        <f t="shared" si="6"/>
        <v>5.990305270520049</v>
      </c>
      <c r="G112" s="23">
        <f t="shared" si="8"/>
        <v>5.990305313648067</v>
      </c>
    </row>
    <row r="113" spans="4:7" ht="13.5" thickBot="1">
      <c r="D113" s="23">
        <f t="shared" si="7"/>
        <v>3.6192127991073955</v>
      </c>
      <c r="E113" s="30">
        <f t="shared" si="5"/>
        <v>4.782796585896556E-06</v>
      </c>
      <c r="F113" s="24">
        <f t="shared" si="6"/>
        <v>15.600554544507425</v>
      </c>
      <c r="G113" s="23">
        <f t="shared" si="8"/>
        <v>15.60055932730401</v>
      </c>
    </row>
    <row r="114" spans="4:7" ht="13.5" thickBot="1">
      <c r="D114" s="23">
        <f t="shared" si="7"/>
        <v>3.6622986657634358</v>
      </c>
      <c r="E114" s="30">
        <f t="shared" si="5"/>
        <v>0.00028093285176789164</v>
      </c>
      <c r="F114" s="24">
        <f t="shared" si="6"/>
        <v>19.575412458414934</v>
      </c>
      <c r="G114" s="23">
        <f t="shared" si="8"/>
        <v>19.575693391266704</v>
      </c>
    </row>
    <row r="115" spans="4:7" ht="13.5" thickBot="1">
      <c r="D115" s="23">
        <f t="shared" si="7"/>
        <v>3.705384532419476</v>
      </c>
      <c r="E115" s="30">
        <f t="shared" si="5"/>
        <v>0.00874019951558981</v>
      </c>
      <c r="F115" s="24">
        <f t="shared" si="6"/>
        <v>11.834818738403513</v>
      </c>
      <c r="G115" s="23">
        <f t="shared" si="8"/>
        <v>11.843558937919102</v>
      </c>
    </row>
    <row r="116" spans="4:7" ht="13.5" thickBot="1">
      <c r="D116" s="23">
        <f t="shared" si="7"/>
        <v>3.7484703990755164</v>
      </c>
      <c r="E116" s="30">
        <f t="shared" si="5"/>
        <v>0.14402516017301398</v>
      </c>
      <c r="F116" s="24">
        <f t="shared" si="6"/>
        <v>3.447403385353071</v>
      </c>
      <c r="G116" s="23">
        <f t="shared" si="8"/>
        <v>3.591428545526085</v>
      </c>
    </row>
    <row r="117" spans="4:7" ht="13.5" thickBot="1">
      <c r="D117" s="23">
        <f t="shared" si="7"/>
        <v>3.7915562657315567</v>
      </c>
      <c r="E117" s="30">
        <f t="shared" si="5"/>
        <v>1.2570529998884834</v>
      </c>
      <c r="F117" s="24">
        <f t="shared" si="6"/>
        <v>0.4838407033121174</v>
      </c>
      <c r="G117" s="23">
        <f t="shared" si="8"/>
        <v>1.7408937032006009</v>
      </c>
    </row>
    <row r="118" spans="4:7" ht="13.5" thickBot="1">
      <c r="D118" s="23">
        <f t="shared" si="7"/>
        <v>3.834642132387597</v>
      </c>
      <c r="E118" s="30">
        <f t="shared" si="5"/>
        <v>5.811215920288754</v>
      </c>
      <c r="F118" s="24">
        <f t="shared" si="6"/>
        <v>0.03271843345859378</v>
      </c>
      <c r="G118" s="23">
        <f t="shared" si="8"/>
        <v>5.843934353747348</v>
      </c>
    </row>
    <row r="119" spans="4:7" ht="13.5" thickBot="1">
      <c r="D119" s="23">
        <f t="shared" si="7"/>
        <v>3.8777279990436373</v>
      </c>
      <c r="E119" s="30">
        <f t="shared" si="5"/>
        <v>14.229139506890917</v>
      </c>
      <c r="F119" s="24">
        <f t="shared" si="6"/>
        <v>0.0010660127683385142</v>
      </c>
      <c r="G119" s="23">
        <f t="shared" si="8"/>
        <v>14.230205519659256</v>
      </c>
    </row>
    <row r="120" spans="4:7" ht="13.5" thickBot="1">
      <c r="D120" s="23">
        <f t="shared" si="7"/>
        <v>3.9208138656996776</v>
      </c>
      <c r="E120" s="30">
        <f t="shared" si="5"/>
        <v>18.453912794278367</v>
      </c>
      <c r="F120" s="24">
        <f t="shared" si="6"/>
        <v>1.6734475896150117E-05</v>
      </c>
      <c r="G120" s="23">
        <f t="shared" si="8"/>
        <v>18.453929528754262</v>
      </c>
    </row>
    <row r="121" spans="4:7" ht="13.5" thickBot="1">
      <c r="D121" s="23">
        <f t="shared" si="7"/>
        <v>3.963899732355718</v>
      </c>
      <c r="E121" s="30">
        <f t="shared" si="5"/>
        <v>12.676416270100368</v>
      </c>
      <c r="F121" s="24">
        <f t="shared" si="6"/>
        <v>1.2657316153383852E-07</v>
      </c>
      <c r="G121" s="23">
        <f t="shared" si="8"/>
        <v>12.67641639667353</v>
      </c>
    </row>
    <row r="122" spans="4:7" ht="13.5" thickBot="1">
      <c r="D122" s="23">
        <f t="shared" si="7"/>
        <v>4.006985599011759</v>
      </c>
      <c r="E122" s="30">
        <f t="shared" si="5"/>
        <v>4.612142551563461</v>
      </c>
      <c r="F122" s="24">
        <f t="shared" si="6"/>
        <v>4.612654697465961E-10</v>
      </c>
      <c r="G122" s="23">
        <f t="shared" si="8"/>
        <v>4.612142552024727</v>
      </c>
    </row>
    <row r="123" spans="4:7" ht="13.5" thickBot="1">
      <c r="D123" s="23">
        <f t="shared" si="7"/>
        <v>4.050071465667799</v>
      </c>
      <c r="E123" s="30">
        <f t="shared" si="5"/>
        <v>0.8888063593590202</v>
      </c>
      <c r="F123" s="24">
        <f t="shared" si="6"/>
        <v>8.099161613975828E-13</v>
      </c>
      <c r="G123" s="23">
        <f t="shared" si="8"/>
        <v>0.8888063593598301</v>
      </c>
    </row>
    <row r="124" spans="4:7" ht="13.5" thickBot="1">
      <c r="D124" s="23">
        <f t="shared" si="7"/>
        <v>4.09315733232384</v>
      </c>
      <c r="E124" s="30">
        <f t="shared" si="5"/>
        <v>0.09072140890677827</v>
      </c>
      <c r="F124" s="24">
        <f t="shared" si="6"/>
        <v>6.8518680286948E-16</v>
      </c>
      <c r="G124" s="23">
        <f t="shared" si="8"/>
        <v>0.09072140890677895</v>
      </c>
    </row>
    <row r="125" spans="4:7" ht="13.5" thickBot="1">
      <c r="D125" s="23">
        <f t="shared" si="7"/>
        <v>4.136243198979881</v>
      </c>
      <c r="E125" s="30">
        <f t="shared" si="5"/>
        <v>0.0049046793571862445</v>
      </c>
      <c r="F125" s="24">
        <f t="shared" si="6"/>
        <v>2.792914996374102E-19</v>
      </c>
      <c r="G125" s="23">
        <f t="shared" si="8"/>
        <v>0.0049046793571862445</v>
      </c>
    </row>
    <row r="126" spans="4:7" ht="13.5" thickBot="1">
      <c r="D126" s="23">
        <f aca="true" t="shared" si="9" ref="D126:D149">D125+$J$31</f>
        <v>4.179329065635922</v>
      </c>
      <c r="E126" s="30">
        <f t="shared" si="5"/>
        <v>0.00014044609121094493</v>
      </c>
      <c r="F126" s="24">
        <f t="shared" si="6"/>
        <v>5.485121477753226E-23</v>
      </c>
      <c r="G126" s="23">
        <f t="shared" si="8"/>
        <v>0.00014044609121094493</v>
      </c>
    </row>
    <row r="127" spans="4:7" ht="13.5" thickBot="1">
      <c r="D127" s="23">
        <f t="shared" si="9"/>
        <v>4.222414932291962</v>
      </c>
      <c r="E127" s="30">
        <f t="shared" si="5"/>
        <v>2.1301338527888203E-06</v>
      </c>
      <c r="F127" s="24">
        <f t="shared" si="6"/>
        <v>5.1903254032716625E-27</v>
      </c>
      <c r="G127" s="23">
        <f t="shared" si="8"/>
        <v>2.1301338527888203E-06</v>
      </c>
    </row>
    <row r="128" spans="4:7" ht="13.5" thickBot="1">
      <c r="D128" s="23">
        <f t="shared" si="9"/>
        <v>4.265500798948003</v>
      </c>
      <c r="E128" s="30">
        <f t="shared" si="5"/>
        <v>1.711206154627865E-08</v>
      </c>
      <c r="F128" s="24">
        <f t="shared" si="6"/>
        <v>2.366370412545536E-31</v>
      </c>
      <c r="G128" s="23">
        <f t="shared" si="8"/>
        <v>1.711206154627865E-08</v>
      </c>
    </row>
    <row r="129" spans="4:7" ht="13.5" thickBot="1">
      <c r="D129" s="23">
        <f t="shared" si="9"/>
        <v>4.308586665604044</v>
      </c>
      <c r="E129" s="30">
        <f t="shared" si="5"/>
        <v>7.281082875390252E-11</v>
      </c>
      <c r="F129" s="24">
        <f t="shared" si="6"/>
        <v>5.198172299647056E-36</v>
      </c>
      <c r="G129" s="23">
        <f t="shared" si="8"/>
        <v>7.281082875390252E-11</v>
      </c>
    </row>
    <row r="130" spans="4:7" ht="13.5" thickBot="1">
      <c r="D130" s="23">
        <f t="shared" si="9"/>
        <v>4.351672532260085</v>
      </c>
      <c r="E130" s="30">
        <f t="shared" si="5"/>
        <v>1.640921542835712E-13</v>
      </c>
      <c r="F130" s="24">
        <f t="shared" si="6"/>
        <v>5.501719171345326E-41</v>
      </c>
      <c r="G130" s="23">
        <f t="shared" si="8"/>
        <v>1.640921542835712E-13</v>
      </c>
    </row>
    <row r="131" spans="4:7" ht="13.5" thickBot="1">
      <c r="D131" s="23">
        <f t="shared" si="9"/>
        <v>4.394758398916125</v>
      </c>
      <c r="E131" s="30">
        <f t="shared" si="5"/>
        <v>1.9587448183378527E-16</v>
      </c>
      <c r="F131" s="24">
        <f t="shared" si="6"/>
        <v>2.80560140565477E-46</v>
      </c>
      <c r="G131" s="23">
        <f t="shared" si="8"/>
        <v>1.9587448183378527E-16</v>
      </c>
    </row>
    <row r="132" spans="4:7" ht="13.5" thickBot="1">
      <c r="D132" s="23">
        <f t="shared" si="9"/>
        <v>4.437844265572166</v>
      </c>
      <c r="E132" s="30">
        <f t="shared" si="5"/>
        <v>1.2384147217478364E-19</v>
      </c>
      <c r="F132" s="24">
        <f t="shared" si="6"/>
        <v>6.893397562663565E-52</v>
      </c>
      <c r="G132" s="23">
        <f t="shared" si="8"/>
        <v>1.2384147217478364E-19</v>
      </c>
    </row>
    <row r="133" spans="4:7" ht="13.5" thickBot="1">
      <c r="D133" s="23">
        <f t="shared" si="9"/>
        <v>4.480930132228207</v>
      </c>
      <c r="E133" s="30">
        <f t="shared" si="5"/>
        <v>4.147176826596244E-23</v>
      </c>
      <c r="F133" s="24">
        <f t="shared" si="6"/>
        <v>8.160569841186201E-58</v>
      </c>
      <c r="G133" s="23">
        <f t="shared" si="8"/>
        <v>4.147176826596244E-23</v>
      </c>
    </row>
    <row r="134" spans="4:7" ht="13.5" thickBot="1">
      <c r="D134" s="23">
        <f t="shared" si="9"/>
        <v>4.524015998884248</v>
      </c>
      <c r="E134" s="30">
        <f t="shared" si="5"/>
        <v>7.355923461597755E-27</v>
      </c>
      <c r="F134" s="24">
        <f t="shared" si="6"/>
        <v>4.654654493549249E-64</v>
      </c>
      <c r="G134" s="23">
        <f t="shared" si="8"/>
        <v>7.355923461597755E-27</v>
      </c>
    </row>
    <row r="135" spans="4:7" ht="13.5" thickBot="1">
      <c r="D135" s="23">
        <f t="shared" si="9"/>
        <v>4.567101865540288</v>
      </c>
      <c r="E135" s="30">
        <f t="shared" si="5"/>
        <v>6.910668361358446E-31</v>
      </c>
      <c r="F135" s="24">
        <f t="shared" si="6"/>
        <v>1.279187530299417E-70</v>
      </c>
      <c r="G135" s="23">
        <f t="shared" si="8"/>
        <v>6.910668361358446E-31</v>
      </c>
    </row>
    <row r="136" spans="4:7" ht="13.5" thickBot="1">
      <c r="D136" s="23">
        <f t="shared" si="9"/>
        <v>4.610187732196329</v>
      </c>
      <c r="E136" s="30">
        <f t="shared" si="5"/>
        <v>3.43875396152111E-35</v>
      </c>
      <c r="F136" s="24">
        <f t="shared" si="6"/>
        <v>1.6937947744208246E-77</v>
      </c>
      <c r="G136" s="23">
        <f t="shared" si="8"/>
        <v>3.43875396152111E-35</v>
      </c>
    </row>
    <row r="137" spans="4:7" ht="13.5" thickBot="1">
      <c r="D137" s="23">
        <f t="shared" si="9"/>
        <v>4.65327359885237</v>
      </c>
      <c r="E137" s="30">
        <f t="shared" si="5"/>
        <v>9.063174816901688E-40</v>
      </c>
      <c r="F137" s="24">
        <f t="shared" si="6"/>
        <v>1.080605476174885E-84</v>
      </c>
      <c r="G137" s="23">
        <f t="shared" si="8"/>
        <v>9.063174816901688E-40</v>
      </c>
    </row>
    <row r="138" spans="4:7" ht="13.5" thickBot="1">
      <c r="D138" s="23">
        <f t="shared" si="9"/>
        <v>4.696359465508411</v>
      </c>
      <c r="E138" s="30">
        <f t="shared" si="5"/>
        <v>1.2651960051389716E-44</v>
      </c>
      <c r="F138" s="24">
        <f t="shared" si="6"/>
        <v>3.3216459783957866E-92</v>
      </c>
      <c r="G138" s="23">
        <f t="shared" si="8"/>
        <v>1.2651960051389716E-44</v>
      </c>
    </row>
    <row r="139" spans="4:7" ht="13.5" thickBot="1">
      <c r="D139" s="23">
        <f t="shared" si="9"/>
        <v>4.739445332164451</v>
      </c>
      <c r="E139" s="30">
        <f t="shared" si="5"/>
        <v>9.354777629596145E-50</v>
      </c>
      <c r="F139" s="24">
        <f t="shared" si="6"/>
        <v>4.919481442482978E-100</v>
      </c>
      <c r="G139" s="23">
        <f t="shared" si="8"/>
        <v>9.354777629596145E-50</v>
      </c>
    </row>
    <row r="140" spans="4:7" ht="13.5" thickBot="1">
      <c r="D140" s="23">
        <f t="shared" si="9"/>
        <v>4.782531198820492</v>
      </c>
      <c r="E140" s="30">
        <f t="shared" si="5"/>
        <v>3.663593893715752E-55</v>
      </c>
      <c r="F140" s="24">
        <f t="shared" si="6"/>
        <v>3.5104687700507856E-108</v>
      </c>
      <c r="G140" s="23">
        <f t="shared" si="8"/>
        <v>3.663593893715752E-55</v>
      </c>
    </row>
    <row r="141" spans="4:7" ht="13.5" thickBot="1">
      <c r="D141" s="23">
        <f t="shared" si="9"/>
        <v>4.825617065476533</v>
      </c>
      <c r="E141" s="30">
        <f t="shared" si="5"/>
        <v>7.599401427643128E-61</v>
      </c>
      <c r="F141" s="24">
        <f t="shared" si="6"/>
        <v>1.2069539625007684E-116</v>
      </c>
      <c r="G141" s="23">
        <f t="shared" si="8"/>
        <v>7.599401427643128E-61</v>
      </c>
    </row>
    <row r="142" spans="4:7" ht="13.5" thickBot="1">
      <c r="D142" s="23">
        <f t="shared" si="9"/>
        <v>4.868702932132574</v>
      </c>
      <c r="E142" s="30">
        <f t="shared" si="5"/>
        <v>8.349291949803608E-67</v>
      </c>
      <c r="F142" s="24">
        <f t="shared" si="6"/>
        <v>1.999383482187686E-125</v>
      </c>
      <c r="G142" s="23">
        <f t="shared" si="8"/>
        <v>8.349291949803608E-67</v>
      </c>
    </row>
    <row r="143" spans="4:7" ht="13.5" thickBot="1">
      <c r="D143" s="23">
        <f t="shared" si="9"/>
        <v>4.911788798788614</v>
      </c>
      <c r="E143" s="30">
        <f t="shared" si="5"/>
        <v>4.8586779118286285E-73</v>
      </c>
      <c r="F143" s="24">
        <f t="shared" si="6"/>
        <v>1.5958104284110991E-134</v>
      </c>
      <c r="G143" s="23">
        <f t="shared" si="8"/>
        <v>4.8586779118286285E-73</v>
      </c>
    </row>
    <row r="144" spans="4:7" ht="13.5" thickBot="1">
      <c r="D144" s="23">
        <f t="shared" si="9"/>
        <v>4.954874665444655</v>
      </c>
      <c r="E144" s="30">
        <f t="shared" si="5"/>
        <v>1.4975618720718786E-79</v>
      </c>
      <c r="F144" s="24">
        <f t="shared" si="6"/>
        <v>6.136861212310593E-144</v>
      </c>
      <c r="G144" s="23">
        <f t="shared" si="8"/>
        <v>1.4975618720718786E-79</v>
      </c>
    </row>
    <row r="145" spans="4:7" ht="13.5" thickBot="1">
      <c r="D145" s="23">
        <f t="shared" si="9"/>
        <v>4.997960532100696</v>
      </c>
      <c r="E145" s="30">
        <f t="shared" si="5"/>
        <v>2.4448354843962287E-86</v>
      </c>
      <c r="F145" s="24">
        <f t="shared" si="6"/>
        <v>1.1370802292783663E-153</v>
      </c>
      <c r="G145" s="23">
        <f t="shared" si="8"/>
        <v>2.4448354843962287E-86</v>
      </c>
    </row>
    <row r="146" spans="4:7" ht="13.5" thickBot="1">
      <c r="D146" s="23">
        <f t="shared" si="9"/>
        <v>5.041046398756737</v>
      </c>
      <c r="E146" s="30">
        <f t="shared" si="5"/>
        <v>2.114037602097567E-93</v>
      </c>
      <c r="F146" s="24">
        <f t="shared" si="6"/>
        <v>1.015116107550521E-163</v>
      </c>
      <c r="G146" s="23">
        <f t="shared" si="8"/>
        <v>2.114037602097567E-93</v>
      </c>
    </row>
    <row r="147" spans="4:7" ht="13.5" thickBot="1">
      <c r="D147" s="23">
        <f t="shared" si="9"/>
        <v>5.084132265412777</v>
      </c>
      <c r="E147" s="30">
        <f t="shared" si="5"/>
        <v>9.682198382296995E-101</v>
      </c>
      <c r="F147" s="24">
        <f t="shared" si="6"/>
        <v>4.366365970877292E-174</v>
      </c>
      <c r="G147" s="23">
        <f t="shared" si="8"/>
        <v>9.682198382296995E-101</v>
      </c>
    </row>
    <row r="148" spans="4:7" ht="13.5" thickBot="1">
      <c r="D148" s="23">
        <f t="shared" si="9"/>
        <v>5.127218132068818</v>
      </c>
      <c r="E148" s="30">
        <f t="shared" si="5"/>
        <v>2.348731906039707E-108</v>
      </c>
      <c r="F148" s="24">
        <f t="shared" si="6"/>
        <v>9.049078427080024E-185</v>
      </c>
      <c r="G148" s="23">
        <f t="shared" si="8"/>
        <v>2.348731906039707E-108</v>
      </c>
    </row>
    <row r="149" spans="4:7" ht="13.5" thickBot="1">
      <c r="D149" s="23">
        <f t="shared" si="9"/>
        <v>5.170303998724859</v>
      </c>
      <c r="E149" s="30">
        <f t="shared" si="5"/>
        <v>3.017804623884325E-116</v>
      </c>
      <c r="F149" s="24">
        <f t="shared" si="6"/>
        <v>9.035836722808854E-196</v>
      </c>
      <c r="G149" s="23">
        <f t="shared" si="8"/>
        <v>3.017804623884325E-116</v>
      </c>
    </row>
  </sheetData>
  <mergeCells count="8">
    <mergeCell ref="C3:H3"/>
    <mergeCell ref="A10:B10"/>
    <mergeCell ref="F9:G9"/>
    <mergeCell ref="D9:E9"/>
    <mergeCell ref="D19:E19"/>
    <mergeCell ref="G19:K19"/>
    <mergeCell ref="J9:K9"/>
    <mergeCell ref="H9:I9"/>
  </mergeCells>
  <hyperlinks>
    <hyperlink ref="C3" r:id="rId1" display="http://creativecommons.org/licenses/by-nc-sa/2.0/fr/"/>
    <hyperlink ref="A3" r:id="rId2" display="briere@univ-reunion.fr"/>
    <hyperlink ref="A4" r:id="rId3" display="http://www2.univ-reunion.fr"/>
  </hyperlinks>
  <printOptions/>
  <pageMargins left="0.75" right="0.75" top="1" bottom="1" header="0.4921259845" footer="0.4921259845"/>
  <pageSetup horizontalDpi="300" verticalDpi="300" orientation="portrait" paperSize="9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06"/>
  <sheetViews>
    <sheetView workbookViewId="0" topLeftCell="A1">
      <selection activeCell="A1" sqref="A1:G215"/>
    </sheetView>
  </sheetViews>
  <sheetFormatPr defaultColWidth="11.421875" defaultRowHeight="12.75"/>
  <cols>
    <col min="2" max="2" width="12.00390625" style="0" bestFit="1" customWidth="1"/>
  </cols>
  <sheetData>
    <row r="3" ht="12.75">
      <c r="A3" s="33"/>
    </row>
    <row r="6" ht="12.75">
      <c r="A6" s="33"/>
    </row>
    <row r="7" ht="12.75">
      <c r="A7" s="33"/>
    </row>
    <row r="8" ht="12.75">
      <c r="A8" s="33"/>
    </row>
    <row r="9" ht="12.75">
      <c r="A9" s="33"/>
    </row>
    <row r="10" ht="12.75">
      <c r="A10" s="33"/>
    </row>
    <row r="11" ht="12.75">
      <c r="A11" s="33"/>
    </row>
    <row r="12" ht="12.75">
      <c r="A12" s="33"/>
    </row>
    <row r="13" ht="12.75">
      <c r="A13" s="33"/>
    </row>
    <row r="14" ht="12.75">
      <c r="A14" s="33"/>
    </row>
    <row r="15" ht="12.75">
      <c r="A15" s="33"/>
    </row>
    <row r="16" ht="12.75">
      <c r="A16" s="33"/>
    </row>
    <row r="17" ht="12.75">
      <c r="A17" s="33"/>
    </row>
    <row r="18" ht="12.75">
      <c r="A18" s="33"/>
    </row>
    <row r="19" ht="12.75">
      <c r="A19" s="33"/>
    </row>
    <row r="20" ht="12.75">
      <c r="A20" s="33"/>
    </row>
    <row r="21" ht="12.75">
      <c r="A21" s="33"/>
    </row>
    <row r="22" ht="12.75">
      <c r="A22" s="33"/>
    </row>
    <row r="23" ht="12.75">
      <c r="A23" s="33"/>
    </row>
    <row r="24" ht="12.75">
      <c r="A24" s="33"/>
    </row>
    <row r="25" ht="12.75">
      <c r="A25" s="33"/>
    </row>
    <row r="26" ht="12.75">
      <c r="A26" s="33"/>
    </row>
    <row r="27" ht="12.75">
      <c r="A27" s="33"/>
    </row>
    <row r="28" ht="12.75">
      <c r="A28" s="33"/>
    </row>
    <row r="29" ht="12.75">
      <c r="A29" s="33"/>
    </row>
    <row r="30" ht="12.75">
      <c r="A30" s="33"/>
    </row>
    <row r="31" ht="12.75">
      <c r="A31" s="33"/>
    </row>
    <row r="32" ht="12.75">
      <c r="A32" s="33"/>
    </row>
    <row r="33" ht="12.75">
      <c r="A33" s="33"/>
    </row>
    <row r="34" ht="12.75">
      <c r="A34" s="33"/>
    </row>
    <row r="35" ht="12.75">
      <c r="A35" s="33"/>
    </row>
    <row r="36" ht="12.75">
      <c r="A36" s="33"/>
    </row>
    <row r="37" ht="12.75">
      <c r="A37" s="33"/>
    </row>
    <row r="38" ht="12.75">
      <c r="A38" s="33"/>
    </row>
    <row r="39" ht="12.75">
      <c r="A39" s="33"/>
    </row>
    <row r="40" ht="12.75">
      <c r="A40" s="33"/>
    </row>
    <row r="41" ht="12.75">
      <c r="A41" s="33"/>
    </row>
    <row r="42" ht="12.75">
      <c r="A42" s="33"/>
    </row>
    <row r="43" ht="12.75">
      <c r="A43" s="33"/>
    </row>
    <row r="44" ht="12.75">
      <c r="A44" s="33"/>
    </row>
    <row r="45" ht="12.75">
      <c r="A45" s="33"/>
    </row>
    <row r="46" ht="12.75">
      <c r="A46" s="33"/>
    </row>
    <row r="47" ht="12.75">
      <c r="A47" s="33"/>
    </row>
    <row r="48" ht="12.75">
      <c r="A48" s="33"/>
    </row>
    <row r="49" ht="12.75">
      <c r="A49" s="33"/>
    </row>
    <row r="50" ht="12.75">
      <c r="A50" s="33"/>
    </row>
    <row r="51" ht="12.75">
      <c r="A51" s="33"/>
    </row>
    <row r="52" ht="12.75">
      <c r="A52" s="33"/>
    </row>
    <row r="53" ht="12.75">
      <c r="A53" s="33"/>
    </row>
    <row r="54" ht="12.75">
      <c r="A54" s="33"/>
    </row>
    <row r="55" ht="12.75">
      <c r="A55" s="33"/>
    </row>
    <row r="56" ht="12.75">
      <c r="A56" s="33"/>
    </row>
    <row r="57" ht="12.75">
      <c r="A57" s="33"/>
    </row>
    <row r="58" ht="12.75">
      <c r="A58" s="33"/>
    </row>
    <row r="59" ht="12.75">
      <c r="A59" s="33"/>
    </row>
    <row r="60" ht="12.75">
      <c r="A60" s="33"/>
    </row>
    <row r="61" ht="12.75">
      <c r="A61" s="33"/>
    </row>
    <row r="62" ht="12.75">
      <c r="A62" s="33"/>
    </row>
    <row r="63" ht="12.75">
      <c r="A63" s="33"/>
    </row>
    <row r="64" ht="12.75">
      <c r="A64" s="33"/>
    </row>
    <row r="65" ht="12.75">
      <c r="A65" s="33"/>
    </row>
    <row r="66" ht="12.75">
      <c r="A66" s="33"/>
    </row>
    <row r="67" ht="12.75">
      <c r="A67" s="33"/>
    </row>
    <row r="68" ht="12.75">
      <c r="A68" s="33"/>
    </row>
    <row r="69" ht="12.75">
      <c r="A69" s="33"/>
    </row>
    <row r="70" ht="12.75">
      <c r="A70" s="33"/>
    </row>
    <row r="71" ht="12.75">
      <c r="A71" s="33"/>
    </row>
    <row r="72" ht="12.75">
      <c r="A72" s="33"/>
    </row>
    <row r="73" ht="12.75">
      <c r="A73" s="33"/>
    </row>
    <row r="74" ht="12.75">
      <c r="A74" s="33"/>
    </row>
    <row r="75" ht="12.75">
      <c r="A75" s="33"/>
    </row>
    <row r="76" ht="12.75">
      <c r="A76" s="33"/>
    </row>
    <row r="77" ht="12.75">
      <c r="A77" s="33"/>
    </row>
    <row r="78" ht="12.75">
      <c r="A78" s="33"/>
    </row>
    <row r="79" ht="12.75">
      <c r="A79" s="33"/>
    </row>
    <row r="80" ht="12.75">
      <c r="A80" s="33"/>
    </row>
    <row r="81" ht="12.75">
      <c r="A81" s="33"/>
    </row>
    <row r="82" ht="12.75">
      <c r="A82" s="33"/>
    </row>
    <row r="83" ht="12.75">
      <c r="A83" s="33"/>
    </row>
    <row r="84" ht="12.75">
      <c r="A84" s="33"/>
    </row>
    <row r="85" ht="12.75">
      <c r="A85" s="33"/>
    </row>
    <row r="86" ht="12.75">
      <c r="A86" s="33"/>
    </row>
    <row r="87" ht="12.75">
      <c r="A87" s="33"/>
    </row>
    <row r="88" ht="12.75">
      <c r="A88" s="33"/>
    </row>
    <row r="89" ht="12.75">
      <c r="A89" s="33"/>
    </row>
    <row r="90" ht="12.75">
      <c r="A90" s="33"/>
    </row>
    <row r="91" ht="12.75">
      <c r="A91" s="33"/>
    </row>
    <row r="92" ht="12.75">
      <c r="A92" s="33"/>
    </row>
    <row r="93" ht="12.75">
      <c r="A93" s="33"/>
    </row>
    <row r="94" ht="12.75">
      <c r="A94" s="33"/>
    </row>
    <row r="95" ht="12.75">
      <c r="A95" s="33"/>
    </row>
    <row r="96" ht="12.75">
      <c r="A96" s="33"/>
    </row>
    <row r="97" ht="12.75">
      <c r="A97" s="33"/>
    </row>
    <row r="98" ht="12.75">
      <c r="A98" s="33"/>
    </row>
    <row r="99" ht="12.75">
      <c r="A99" s="33"/>
    </row>
    <row r="100" ht="12.75">
      <c r="A100" s="33"/>
    </row>
    <row r="101" ht="12.75">
      <c r="A101" s="33"/>
    </row>
    <row r="102" ht="12.75">
      <c r="A102" s="33"/>
    </row>
    <row r="103" ht="12.75">
      <c r="A103" s="33"/>
    </row>
    <row r="104" ht="12.75">
      <c r="A104" s="33"/>
    </row>
    <row r="105" ht="12.75">
      <c r="A105" s="33"/>
    </row>
    <row r="106" ht="12.75">
      <c r="A106" s="3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:K14"/>
    </sheetView>
  </sheetViews>
  <sheetFormatPr defaultColWidth="11.421875" defaultRowHeight="12.75"/>
  <sheetData>
    <row r="3" ht="12.75">
      <c r="A3" s="35"/>
    </row>
    <row r="4" spans="1:3" ht="12.75">
      <c r="A4" s="34"/>
      <c r="B4" s="34"/>
      <c r="C4" s="3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 Brière</dc:creator>
  <cp:keywords/>
  <dc:description/>
  <cp:lastModifiedBy>T.BRIERE</cp:lastModifiedBy>
  <dcterms:created xsi:type="dcterms:W3CDTF">2005-03-09T18:22:54Z</dcterms:created>
  <dcterms:modified xsi:type="dcterms:W3CDTF">2007-06-14T10:01:27Z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