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35" windowWidth="11955" windowHeight="6675" activeTab="0"/>
  </bookViews>
  <sheets>
    <sheet name="Feuil1" sheetId="1" r:id="rId1"/>
    <sheet name="Feuil2" sheetId="2" r:id="rId2"/>
    <sheet name="Feuil3" sheetId="3" r:id="rId3"/>
  </sheets>
  <definedNames>
    <definedName name="aA">'Feuil1'!$D$13</definedName>
    <definedName name="aB">'Feuil1'!$D$14</definedName>
    <definedName name="alpha">'Feuil1'!$B$10</definedName>
    <definedName name="Astocke">'Feuil1'!$B$16</definedName>
    <definedName name="bA">'Feuil1'!$G$13</definedName>
    <definedName name="bB">'Feuil1'!$G$14</definedName>
    <definedName name="Bstocke">'Feuil1'!$B$17</definedName>
    <definedName name="Cstocke">'Feuil1'!$B$18</definedName>
    <definedName name="Débit">'Feuil1'!$B$11</definedName>
    <definedName name="Debopt">'Feuil1'!$B$14</definedName>
    <definedName name="dint">'Feuil1'!$B$7</definedName>
    <definedName name="dpart">'Feuil1'!$B$8</definedName>
    <definedName name="hopt">'Feuil1'!$B$15</definedName>
    <definedName name="hvrai">'Feuil1'!$G$10</definedName>
    <definedName name="k_Ret_A">'Feuil1'!$I$5</definedName>
    <definedName name="Keq1">'Feuil1'!$I$4</definedName>
    <definedName name="kRet1A">'Feuil1'!$I$5</definedName>
    <definedName name="kretb">'Feuil1'!$K$5</definedName>
    <definedName name="Lcm">'Feuil1'!$B$6</definedName>
    <definedName name="Nattendue">'Feuil1'!$B$19</definedName>
    <definedName name="NeffA">'Feuil1'!$I$11</definedName>
    <definedName name="NeffB">'Feuil1'!$K$11</definedName>
    <definedName name="Nvrai">'Feuil1'!$G$11</definedName>
    <definedName name="porosité">'Feuil1'!$B$5</definedName>
    <definedName name="sgmaA">'Feuil1'!$I$10</definedName>
    <definedName name="sgmaB">'Feuil1'!$K$10</definedName>
    <definedName name="tmort">'Feuil1'!$G$8</definedName>
    <definedName name="tmortsec">'Feuil1'!$G$7</definedName>
    <definedName name="tRA">'Feuil1'!$I$7</definedName>
    <definedName name="tRB">'Feuil1'!$K$7</definedName>
    <definedName name="tRedA">'Feuil1'!$I$8</definedName>
    <definedName name="tRedB">'Feuil1'!$K$8</definedName>
    <definedName name="u">'Feuil1'!$G$9</definedName>
    <definedName name="uopt">'Feuil1'!$B$13</definedName>
    <definedName name="Vint">'Feuil1'!$G$4</definedName>
    <definedName name="Vmort">'Feuil1'!$G$5</definedName>
    <definedName name="VRA">'Feuil1'!$I$6</definedName>
    <definedName name="VRB">'Feuil1'!$K$6</definedName>
    <definedName name="Vstat">'Feuil1'!$G$6</definedName>
    <definedName name="xmvrai">'Feuil1'!$E$19</definedName>
    <definedName name="xorg">'Feuil1'!$B$9</definedName>
  </definedNames>
  <calcPr fullCalcOnLoad="1"/>
</workbook>
</file>

<file path=xl/comments1.xml><?xml version="1.0" encoding="utf-8"?>
<comments xmlns="http://schemas.openxmlformats.org/spreadsheetml/2006/main">
  <authors>
    <author>Mme Bri?re</author>
    <author>Administrateur</author>
    <author>T.BRIERE</author>
  </authors>
  <commentList>
    <comment ref="A4" authorId="0">
      <text>
        <r>
          <rPr>
            <b/>
            <sz val="12"/>
            <color indexed="12"/>
            <rFont val="Tahoma"/>
            <family val="2"/>
          </rPr>
          <t>Thierry Brière:
Paramètres fondamentaux
A fixer préalablement grâce aux boutons CURSEURS</t>
        </r>
      </text>
    </comment>
    <comment ref="F3" authorId="0">
      <text>
        <r>
          <rPr>
            <b/>
            <sz val="12"/>
            <color indexed="12"/>
            <rFont val="Tahoma"/>
            <family val="2"/>
          </rPr>
          <t>Thierry Brière :
Tous ces paramètres se calculent à partir des paramètres fondamentaux
Il suffit d'appliquer les formules du chapitre 1</t>
        </r>
      </text>
    </comment>
    <comment ref="B19" authorId="1">
      <text>
        <r>
          <rPr>
            <b/>
            <sz val="8"/>
            <rFont val="Tahoma"/>
            <family val="0"/>
          </rPr>
          <t xml:space="preserve">
   </t>
        </r>
        <r>
          <rPr>
            <b/>
            <sz val="8"/>
            <color indexed="10"/>
            <rFont val="Tahoma"/>
            <family val="2"/>
          </rPr>
          <t xml:space="preserve">Efficacité attendue </t>
        </r>
        <r>
          <rPr>
            <b/>
            <sz val="8"/>
            <rFont val="Tahoma"/>
            <family val="0"/>
          </rPr>
          <t xml:space="preserve">estimée par hopt = 0,5/dpart
 </t>
        </r>
        <r>
          <rPr>
            <sz val="8"/>
            <rFont val="Tahoma"/>
            <family val="0"/>
          </rPr>
          <t xml:space="preserve">
</t>
        </r>
      </text>
    </comment>
    <comment ref="B13" authorId="1">
      <text>
        <r>
          <rPr>
            <b/>
            <sz val="8"/>
            <rFont val="Tahoma"/>
            <family val="0"/>
          </rPr>
          <t xml:space="preserve">
  Vitesse linéaire optimale estimée par
  uopt = 0,5 / dpart
</t>
        </r>
        <r>
          <rPr>
            <sz val="8"/>
            <rFont val="Tahoma"/>
            <family val="0"/>
          </rPr>
          <t xml:space="preserve">
</t>
        </r>
      </text>
    </comment>
    <comment ref="B15" authorId="1">
      <text>
        <r>
          <rPr>
            <b/>
            <sz val="8"/>
            <rFont val="Tahoma"/>
            <family val="0"/>
          </rPr>
          <t xml:space="preserve">
  h  optimale estimée par :
  h opt = 3 * dpart (en </t>
        </r>
        <r>
          <rPr>
            <b/>
            <sz val="8"/>
            <rFont val="Symbol"/>
            <family val="1"/>
          </rPr>
          <t>m</t>
        </r>
        <r>
          <rPr>
            <b/>
            <sz val="8"/>
            <rFont val="Tahoma"/>
            <family val="0"/>
          </rPr>
          <t>m)</t>
        </r>
        <r>
          <rPr>
            <sz val="8"/>
            <rFont val="Tahoma"/>
            <family val="0"/>
          </rPr>
          <t xml:space="preserve">
</t>
        </r>
      </text>
    </comment>
    <comment ref="G4" authorId="1">
      <text>
        <r>
          <rPr>
            <b/>
            <sz val="8"/>
            <rFont val="Tahoma"/>
            <family val="0"/>
          </rPr>
          <t xml:space="preserve">
 Volume interne de la colonne</t>
        </r>
        <r>
          <rPr>
            <sz val="8"/>
            <rFont val="Tahoma"/>
            <family val="0"/>
          </rPr>
          <t xml:space="preserve">
</t>
        </r>
      </text>
    </comment>
    <comment ref="G5" authorId="1">
      <text>
        <r>
          <rPr>
            <b/>
            <sz val="8"/>
            <rFont val="Tahoma"/>
            <family val="0"/>
          </rPr>
          <t xml:space="preserve">
  Volume mort de la colonne</t>
        </r>
        <r>
          <rPr>
            <sz val="8"/>
            <rFont val="Tahoma"/>
            <family val="0"/>
          </rPr>
          <t xml:space="preserve">
   </t>
        </r>
        <r>
          <rPr>
            <b/>
            <sz val="8"/>
            <color indexed="10"/>
            <rFont val="Tahoma"/>
            <family val="2"/>
          </rPr>
          <t>V</t>
        </r>
        <r>
          <rPr>
            <b/>
            <vertAlign val="subscript"/>
            <sz val="8"/>
            <color indexed="10"/>
            <rFont val="Tahoma"/>
            <family val="2"/>
          </rPr>
          <t>M</t>
        </r>
        <r>
          <rPr>
            <b/>
            <sz val="8"/>
            <color indexed="10"/>
            <rFont val="Tahoma"/>
            <family val="2"/>
          </rPr>
          <t xml:space="preserve"> = porosité * Volume interne</t>
        </r>
      </text>
    </comment>
    <comment ref="G6" authorId="1">
      <text>
        <r>
          <rPr>
            <b/>
            <sz val="8"/>
            <rFont val="Tahoma"/>
            <family val="0"/>
          </rPr>
          <t xml:space="preserve">
  Volume de la phase stationnaire</t>
        </r>
        <r>
          <rPr>
            <sz val="8"/>
            <rFont val="Tahoma"/>
            <family val="0"/>
          </rPr>
          <t xml:space="preserve">
  </t>
        </r>
        <r>
          <rPr>
            <b/>
            <sz val="8"/>
            <color indexed="10"/>
            <rFont val="Tahoma"/>
            <family val="2"/>
          </rPr>
          <t>VStat = V interne - V mort</t>
        </r>
      </text>
    </comment>
    <comment ref="B16" authorId="1">
      <text>
        <r>
          <rPr>
            <b/>
            <sz val="8"/>
            <rFont val="Tahoma"/>
            <family val="2"/>
          </rPr>
          <t xml:space="preserve">
    Paramètres de la courbe de Stocke
    h = A + B/u + C u
    A : considéré comme nul</t>
        </r>
        <r>
          <rPr>
            <sz val="8"/>
            <rFont val="Tahoma"/>
            <family val="0"/>
          </rPr>
          <t xml:space="preserve">
 </t>
        </r>
      </text>
    </comment>
    <comment ref="B17" authorId="1">
      <text>
        <r>
          <rPr>
            <b/>
            <sz val="8"/>
            <rFont val="Tahoma"/>
            <family val="0"/>
          </rPr>
          <t xml:space="preserve">
   Paramètres de la courbe de Stocke
   h = 0 + B/u + C u
   B = hopt * uopt / 2
</t>
        </r>
      </text>
    </comment>
    <comment ref="B18" authorId="1">
      <text>
        <r>
          <rPr>
            <b/>
            <sz val="8"/>
            <rFont val="Tahoma"/>
            <family val="0"/>
          </rPr>
          <t xml:space="preserve"> 
  Paramètres de la courbe de Stocke
  h = A + B/u + C u
  C = hopt / ( 2 uopt )</t>
        </r>
        <r>
          <rPr>
            <sz val="8"/>
            <rFont val="Tahoma"/>
            <family val="0"/>
          </rPr>
          <t xml:space="preserve">
</t>
        </r>
      </text>
    </comment>
    <comment ref="G10" authorId="1">
      <text>
        <r>
          <rPr>
            <sz val="8"/>
            <rFont val="Tahoma"/>
            <family val="0"/>
          </rPr>
          <t>h calculé au débit imposé par la loi de Stocke
Paramètres de la courbe de Stocke
h = A + B/u + C u
A : considéré comme nul</t>
        </r>
      </text>
    </comment>
    <comment ref="G11" authorId="1">
      <text>
        <r>
          <rPr>
            <b/>
            <sz val="8"/>
            <rFont val="Tahoma"/>
            <family val="0"/>
          </rPr>
          <t xml:space="preserve">  
   Efficacité estimée de la colonne au débit imposé
   N = L(cm) / h(cm)</t>
        </r>
        <r>
          <rPr>
            <sz val="8"/>
            <rFont val="Tahoma"/>
            <family val="0"/>
          </rPr>
          <t xml:space="preserve">
</t>
        </r>
      </text>
    </comment>
    <comment ref="B14" authorId="1">
      <text>
        <r>
          <rPr>
            <b/>
            <sz val="8"/>
            <rFont val="Tahoma"/>
            <family val="0"/>
          </rPr>
          <t xml:space="preserve">  
  Débit optimal estimé</t>
        </r>
        <r>
          <rPr>
            <sz val="8"/>
            <rFont val="Tahoma"/>
            <family val="0"/>
          </rPr>
          <t xml:space="preserve">
  </t>
        </r>
        <r>
          <rPr>
            <b/>
            <sz val="8"/>
            <rFont val="Tahoma"/>
            <family val="2"/>
          </rPr>
          <t>Dopt = uopt * Vmort / L</t>
        </r>
      </text>
    </comment>
    <comment ref="G7" authorId="1">
      <text>
        <r>
          <rPr>
            <b/>
            <sz val="8"/>
            <rFont val="Tahoma"/>
            <family val="0"/>
          </rPr>
          <t xml:space="preserve">
   Temps mort :
    </t>
        </r>
        <r>
          <rPr>
            <b/>
            <sz val="8"/>
            <color indexed="10"/>
            <rFont val="Tahoma"/>
            <family val="2"/>
          </rPr>
          <t>tMort = Vmort /débit = L / u</t>
        </r>
        <r>
          <rPr>
            <sz val="8"/>
            <rFont val="Tahoma"/>
            <family val="0"/>
          </rPr>
          <t xml:space="preserve">
 </t>
        </r>
      </text>
    </comment>
    <comment ref="I4" authorId="1">
      <text>
        <r>
          <rPr>
            <b/>
            <sz val="8"/>
            <rFont val="Tahoma"/>
            <family val="0"/>
          </rPr>
          <t xml:space="preserve">
   Constante équilibre de partition
   Composé 1 
   Keq1 = kret1 * Vmort/Vstat</t>
        </r>
        <r>
          <rPr>
            <sz val="8"/>
            <rFont val="Tahoma"/>
            <family val="0"/>
          </rPr>
          <t xml:space="preserve">
</t>
        </r>
      </text>
    </comment>
    <comment ref="I5" authorId="1">
      <text>
        <r>
          <rPr>
            <b/>
            <sz val="8"/>
            <rFont val="Tahoma"/>
            <family val="0"/>
          </rPr>
          <t xml:space="preserve">
    Facteur de rétention  :
    k = 10^(a logx+b)</t>
        </r>
        <r>
          <rPr>
            <sz val="8"/>
            <rFont val="Tahoma"/>
            <family val="0"/>
          </rPr>
          <t xml:space="preserve">
</t>
        </r>
      </text>
    </comment>
    <comment ref="I6" authorId="1">
      <text>
        <r>
          <rPr>
            <b/>
            <sz val="8"/>
            <rFont val="Tahoma"/>
            <family val="0"/>
          </rPr>
          <t xml:space="preserve">
    Volume de rétention :
    VR = Vmort + Keq * Vstat</t>
        </r>
        <r>
          <rPr>
            <sz val="8"/>
            <rFont val="Tahoma"/>
            <family val="0"/>
          </rPr>
          <t xml:space="preserve">
</t>
        </r>
      </text>
    </comment>
    <comment ref="I7" authorId="1">
      <text>
        <r>
          <rPr>
            <b/>
            <sz val="8"/>
            <rFont val="Tahoma"/>
            <family val="0"/>
          </rPr>
          <t xml:space="preserve">
   Temps de rétention
    tR = VR/ débit = tmort*(1+k)</t>
        </r>
        <r>
          <rPr>
            <sz val="8"/>
            <rFont val="Tahoma"/>
            <family val="0"/>
          </rPr>
          <t xml:space="preserve">
</t>
        </r>
      </text>
    </comment>
    <comment ref="I8" authorId="1">
      <text>
        <r>
          <rPr>
            <b/>
            <sz val="8"/>
            <rFont val="Tahoma"/>
            <family val="2"/>
          </rPr>
          <t xml:space="preserve">   
   Temps de rétention réduit :
   tR' = tR - tmort</t>
        </r>
        <r>
          <rPr>
            <sz val="8"/>
            <rFont val="Tahoma"/>
            <family val="0"/>
          </rPr>
          <t xml:space="preserve">
</t>
        </r>
      </text>
    </comment>
    <comment ref="I9" authorId="1">
      <text>
        <r>
          <rPr>
            <b/>
            <sz val="8"/>
            <rFont val="Tahoma"/>
            <family val="0"/>
          </rPr>
          <t xml:space="preserve">
  k = tRred / tmort
  A titre de vérification</t>
        </r>
        <r>
          <rPr>
            <sz val="8"/>
            <rFont val="Tahoma"/>
            <family val="0"/>
          </rPr>
          <t xml:space="preserve">
</t>
        </r>
      </text>
    </comment>
    <comment ref="I10" authorId="1">
      <text>
        <r>
          <rPr>
            <b/>
            <sz val="8"/>
            <rFont val="Tahoma"/>
            <family val="0"/>
          </rPr>
          <t xml:space="preserve">   
   écart type du pic :
   sigma = tR / N</t>
        </r>
        <r>
          <rPr>
            <b/>
            <vertAlign val="superscript"/>
            <sz val="8"/>
            <rFont val="Tahoma"/>
            <family val="2"/>
          </rPr>
          <t>0,5</t>
        </r>
        <r>
          <rPr>
            <sz val="8"/>
            <rFont val="Tahoma"/>
            <family val="0"/>
          </rPr>
          <t xml:space="preserve">
</t>
        </r>
      </text>
    </comment>
    <comment ref="I11" authorId="1">
      <text>
        <r>
          <rPr>
            <sz val="8"/>
            <rFont val="Tahoma"/>
            <family val="0"/>
          </rPr>
          <t xml:space="preserve"> 
   </t>
        </r>
        <r>
          <rPr>
            <b/>
            <sz val="8"/>
            <rFont val="Tahoma"/>
            <family val="2"/>
          </rPr>
          <t>Efficacité réelle
   Neff = tred</t>
        </r>
        <r>
          <rPr>
            <b/>
            <vertAlign val="superscript"/>
            <sz val="8"/>
            <rFont val="Tahoma"/>
            <family val="2"/>
          </rPr>
          <t>2</t>
        </r>
        <r>
          <rPr>
            <b/>
            <sz val="8"/>
            <rFont val="Tahoma"/>
            <family val="2"/>
          </rPr>
          <t xml:space="preserve"> / sigma</t>
        </r>
        <r>
          <rPr>
            <b/>
            <vertAlign val="superscript"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 xml:space="preserve">
</t>
        </r>
      </text>
    </comment>
    <comment ref="B5" authorId="1">
      <text>
        <r>
          <rPr>
            <b/>
            <sz val="8"/>
            <rFont val="Tahoma"/>
            <family val="0"/>
          </rPr>
          <t>Porosité de la colonne :
porosité = Vmort /VInterne</t>
        </r>
        <r>
          <rPr>
            <sz val="8"/>
            <rFont val="Tahoma"/>
            <family val="0"/>
          </rPr>
          <t xml:space="preserve">
</t>
        </r>
      </text>
    </comment>
    <comment ref="B6" authorId="1">
      <text>
        <r>
          <rPr>
            <b/>
            <sz val="8"/>
            <rFont val="Tahoma"/>
            <family val="0"/>
          </rPr>
          <t xml:space="preserve">
  Longueur de la colonne en cm</t>
        </r>
        <r>
          <rPr>
            <sz val="8"/>
            <rFont val="Tahoma"/>
            <family val="0"/>
          </rPr>
          <t xml:space="preserve">
</t>
        </r>
      </text>
    </comment>
    <comment ref="B7" authorId="1">
      <text>
        <r>
          <rPr>
            <b/>
            <sz val="8"/>
            <rFont val="Tahoma"/>
            <family val="0"/>
          </rPr>
          <t xml:space="preserve">
  Diamètre interne de la colonne en cm</t>
        </r>
        <r>
          <rPr>
            <sz val="8"/>
            <rFont val="Tahoma"/>
            <family val="0"/>
          </rPr>
          <t xml:space="preserve">
</t>
        </r>
      </text>
    </comment>
    <comment ref="B8" authorId="1">
      <text>
        <r>
          <rPr>
            <b/>
            <sz val="8"/>
            <rFont val="Tahoma"/>
            <family val="0"/>
          </rPr>
          <t xml:space="preserve">
   Diamètres des particules de phases stationnaire plus    ce
   diamètre est faible plus la colonne est efficace.</t>
        </r>
        <r>
          <rPr>
            <sz val="8"/>
            <rFont val="Tahoma"/>
            <family val="0"/>
          </rPr>
          <t xml:space="preserve">
 </t>
        </r>
      </text>
    </comment>
    <comment ref="E4" authorId="1">
      <text>
        <r>
          <rPr>
            <b/>
            <sz val="8"/>
            <rFont val="Tahoma"/>
            <family val="0"/>
          </rPr>
          <t xml:space="preserve">  Résolution "vraie"
  On suppose efficacité identique pour les deux   composés
</t>
        </r>
        <r>
          <rPr>
            <sz val="8"/>
            <rFont val="Tahoma"/>
            <family val="0"/>
          </rPr>
          <t xml:space="preserve">
 </t>
        </r>
        <r>
          <rPr>
            <sz val="8"/>
            <color indexed="20"/>
            <rFont val="Tahoma"/>
            <family val="2"/>
          </rPr>
          <t xml:space="preserve"> R = </t>
        </r>
        <r>
          <rPr>
            <b/>
            <sz val="8"/>
            <color indexed="20"/>
            <rFont val="Tahoma"/>
            <family val="2"/>
          </rPr>
          <t xml:space="preserve">1/2*(tRB-tRA)/(sigmaA+sigmaB)  </t>
        </r>
      </text>
    </comment>
    <comment ref="E5" authorId="1">
      <text>
        <r>
          <rPr>
            <b/>
            <sz val="8"/>
            <rFont val="Tahoma"/>
            <family val="0"/>
          </rPr>
          <t xml:space="preserve">
  Résolution dans l'hypothèse d'une efficacité identique pour les deux composés
    </t>
        </r>
        <r>
          <rPr>
            <b/>
            <sz val="10"/>
            <color indexed="61"/>
            <rFont val="Tahoma"/>
            <family val="2"/>
          </rPr>
          <t>R  = 0,5*N</t>
        </r>
        <r>
          <rPr>
            <b/>
            <vertAlign val="superscript"/>
            <sz val="10"/>
            <color indexed="61"/>
            <rFont val="Tahoma"/>
            <family val="2"/>
          </rPr>
          <t>0,5</t>
        </r>
        <r>
          <rPr>
            <b/>
            <sz val="10"/>
            <color indexed="61"/>
            <rFont val="Tahoma"/>
            <family val="2"/>
          </rPr>
          <t>*(tRB-tRA)/(tRB+tRA)</t>
        </r>
        <r>
          <rPr>
            <sz val="8"/>
            <rFont val="Tahoma"/>
            <family val="0"/>
          </rPr>
          <t xml:space="preserve">
</t>
        </r>
      </text>
    </comment>
    <comment ref="E6" authorId="1">
      <text>
        <r>
          <rPr>
            <sz val="8"/>
            <rFont val="Tahoma"/>
            <family val="0"/>
          </rPr>
          <t xml:space="preserve">
   </t>
        </r>
        <r>
          <rPr>
            <b/>
            <sz val="8"/>
            <color indexed="61"/>
            <rFont val="Tahoma"/>
            <family val="2"/>
          </rPr>
          <t>R = 1/4*NeffB</t>
        </r>
        <r>
          <rPr>
            <b/>
            <vertAlign val="superscript"/>
            <sz val="8"/>
            <color indexed="61"/>
            <rFont val="Tahoma"/>
            <family val="2"/>
          </rPr>
          <t>0,5</t>
        </r>
        <r>
          <rPr>
            <b/>
            <sz val="8"/>
            <color indexed="61"/>
            <rFont val="Tahoma"/>
            <family val="2"/>
          </rPr>
          <t>*(alpha-1)/alpha</t>
        </r>
      </text>
    </comment>
    <comment ref="E7" authorId="1">
      <text>
        <r>
          <rPr>
            <sz val="8"/>
            <rFont val="Tahoma"/>
            <family val="0"/>
          </rPr>
          <t xml:space="preserve">
 </t>
        </r>
        <r>
          <rPr>
            <b/>
            <sz val="10"/>
            <color indexed="14"/>
            <rFont val="Tahoma"/>
            <family val="2"/>
          </rPr>
          <t xml:space="preserve"> Approximation de Purnell</t>
        </r>
        <r>
          <rPr>
            <b/>
            <sz val="10"/>
            <color indexed="61"/>
            <rFont val="Tahoma"/>
            <family val="2"/>
          </rPr>
          <t xml:space="preserve"> :</t>
        </r>
        <r>
          <rPr>
            <sz val="8"/>
            <rFont val="Tahoma"/>
            <family val="0"/>
          </rPr>
          <t xml:space="preserve">
    </t>
        </r>
        <r>
          <rPr>
            <b/>
            <sz val="8"/>
            <color indexed="61"/>
            <rFont val="Tahoma"/>
            <family val="2"/>
          </rPr>
          <t xml:space="preserve">R = </t>
        </r>
        <r>
          <rPr>
            <b/>
            <sz val="10"/>
            <color indexed="61"/>
            <rFont val="Tahoma"/>
            <family val="2"/>
          </rPr>
          <t xml:space="preserve">1/4 * </t>
        </r>
        <r>
          <rPr>
            <b/>
            <sz val="10"/>
            <color indexed="10"/>
            <rFont val="Tahoma"/>
            <family val="2"/>
          </rPr>
          <t>Nvrai</t>
        </r>
        <r>
          <rPr>
            <b/>
            <vertAlign val="superscript"/>
            <sz val="10"/>
            <color indexed="10"/>
            <rFont val="Tahoma"/>
            <family val="2"/>
          </rPr>
          <t>0,5</t>
        </r>
        <r>
          <rPr>
            <b/>
            <sz val="10"/>
            <color indexed="61"/>
            <rFont val="Tahoma"/>
            <family val="2"/>
          </rPr>
          <t>*</t>
        </r>
        <r>
          <rPr>
            <b/>
            <sz val="10"/>
            <color indexed="12"/>
            <rFont val="Tahoma"/>
            <family val="2"/>
          </rPr>
          <t>(alpha-1)/alpha</t>
        </r>
        <r>
          <rPr>
            <b/>
            <sz val="10"/>
            <color indexed="61"/>
            <rFont val="Tahoma"/>
            <family val="2"/>
          </rPr>
          <t xml:space="preserve"> * kretB/(1+kretB)</t>
        </r>
        <r>
          <rPr>
            <b/>
            <sz val="10"/>
            <rFont val="Tahoma"/>
            <family val="2"/>
          </rPr>
          <t xml:space="preserve">
</t>
        </r>
      </text>
    </comment>
    <comment ref="K4" authorId="1">
      <text>
        <r>
          <rPr>
            <b/>
            <sz val="8"/>
            <rFont val="Tahoma"/>
            <family val="0"/>
          </rPr>
          <t xml:space="preserve">
   Constante équilibre de partition
   Composé 2 
   Keq2 = kret2 * Vmort/Vstat</t>
        </r>
      </text>
    </comment>
    <comment ref="K5" authorId="1">
      <text>
        <r>
          <rPr>
            <b/>
            <sz val="8"/>
            <rFont val="Tahoma"/>
            <family val="0"/>
          </rPr>
          <t xml:space="preserve">
    Facteur de rétention  :
    k = 10^(a logx+b)</t>
        </r>
      </text>
    </comment>
    <comment ref="K6" authorId="1">
      <text>
        <r>
          <rPr>
            <b/>
            <sz val="8"/>
            <rFont val="Tahoma"/>
            <family val="0"/>
          </rPr>
          <t xml:space="preserve">
  Volume de rétention :
    VR = Vmort + Keq * Vstat</t>
        </r>
        <r>
          <rPr>
            <sz val="8"/>
            <rFont val="Tahoma"/>
            <family val="0"/>
          </rPr>
          <t xml:space="preserve">
</t>
        </r>
      </text>
    </comment>
    <comment ref="K7" authorId="1">
      <text>
        <r>
          <rPr>
            <b/>
            <sz val="8"/>
            <rFont val="Tahoma"/>
            <family val="0"/>
          </rPr>
          <t xml:space="preserve">  
   Temps de rétention
    tR = VR/ débit = tmort*(1+k)
</t>
        </r>
        <r>
          <rPr>
            <sz val="8"/>
            <rFont val="Tahoma"/>
            <family val="0"/>
          </rPr>
          <t xml:space="preserve">
</t>
        </r>
      </text>
    </comment>
    <comment ref="K8" authorId="1">
      <text>
        <r>
          <rPr>
            <b/>
            <sz val="8"/>
            <rFont val="Tahoma"/>
            <family val="0"/>
          </rPr>
          <t xml:space="preserve">
  Temps de rétention réduit :
   tR' = tR - tmort</t>
        </r>
        <r>
          <rPr>
            <sz val="8"/>
            <rFont val="Tahoma"/>
            <family val="0"/>
          </rPr>
          <t xml:space="preserve">
</t>
        </r>
      </text>
    </comment>
    <comment ref="K9" authorId="1">
      <text>
        <r>
          <rPr>
            <b/>
            <sz val="8"/>
            <rFont val="Tahoma"/>
            <family val="0"/>
          </rPr>
          <t xml:space="preserve">
  k = tRred / tmort
A titre de vérification</t>
        </r>
        <r>
          <rPr>
            <sz val="8"/>
            <rFont val="Tahoma"/>
            <family val="0"/>
          </rPr>
          <t xml:space="preserve">
</t>
        </r>
      </text>
    </comment>
    <comment ref="K10" authorId="1">
      <text>
        <r>
          <rPr>
            <b/>
            <sz val="8"/>
            <rFont val="Tahoma"/>
            <family val="0"/>
          </rPr>
          <t xml:space="preserve">
  écart type du pic :
   sigma = tR / N</t>
        </r>
        <r>
          <rPr>
            <b/>
            <vertAlign val="superscript"/>
            <sz val="8"/>
            <rFont val="Tahoma"/>
            <family val="2"/>
          </rPr>
          <t>0,5</t>
        </r>
      </text>
    </comment>
    <comment ref="K11" authorId="1">
      <text>
        <r>
          <rPr>
            <b/>
            <sz val="8"/>
            <rFont val="Tahoma"/>
            <family val="0"/>
          </rPr>
          <t xml:space="preserve">
  Efficacité réelle
   Neff = tred</t>
        </r>
        <r>
          <rPr>
            <b/>
            <vertAlign val="superscript"/>
            <sz val="8"/>
            <rFont val="Tahoma"/>
            <family val="2"/>
          </rPr>
          <t>2</t>
        </r>
        <r>
          <rPr>
            <b/>
            <sz val="8"/>
            <rFont val="Tahoma"/>
            <family val="0"/>
          </rPr>
          <t xml:space="preserve"> / sigma</t>
        </r>
        <r>
          <rPr>
            <b/>
            <vertAlign val="superscript"/>
            <sz val="8"/>
            <rFont val="Tahoma"/>
            <family val="2"/>
          </rPr>
          <t>2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B9" authorId="2">
      <text>
        <r>
          <rPr>
            <b/>
            <sz val="8"/>
            <rFont val="Tahoma"/>
            <family val="0"/>
          </rPr>
          <t>T.BRIERE: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Teneur en solvant organique de l'éluant en %volume</t>
        </r>
        <r>
          <rPr>
            <sz val="8"/>
            <rFont val="Tahoma"/>
            <family val="0"/>
          </rPr>
          <t xml:space="preserve">
</t>
        </r>
      </text>
    </comment>
    <comment ref="B11" authorId="2">
      <text>
        <r>
          <rPr>
            <b/>
            <sz val="8"/>
            <rFont val="Tahoma"/>
            <family val="0"/>
          </rPr>
          <t>T.BRIERE: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2"/>
            <rFont val="Tahoma"/>
            <family val="2"/>
          </rPr>
          <t>Débit de l'éluant en mL/min</t>
        </r>
      </text>
    </comment>
    <comment ref="E9" authorId="2">
      <text>
        <r>
          <rPr>
            <b/>
            <sz val="8"/>
            <rFont val="Tahoma"/>
            <family val="0"/>
          </rPr>
          <t>T.BRIERE: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2"/>
            <rFont val="Tahoma"/>
            <family val="2"/>
          </rPr>
          <t xml:space="preserve">Sélectivité </t>
        </r>
        <r>
          <rPr>
            <b/>
            <sz val="10"/>
            <color indexed="12"/>
            <rFont val="Symbol"/>
            <family val="1"/>
          </rPr>
          <t>a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rFont val="Symbol"/>
            <family val="1"/>
          </rPr>
          <t>a</t>
        </r>
        <r>
          <rPr>
            <b/>
            <sz val="10"/>
            <rFont val="Tahoma"/>
            <family val="2"/>
          </rPr>
          <t xml:space="preserve"> = kret2/kret1 Si kret1&lt;kret2
</t>
        </r>
        <r>
          <rPr>
            <b/>
            <sz val="10"/>
            <rFont val="Symbol"/>
            <family val="1"/>
          </rPr>
          <t>a</t>
        </r>
        <r>
          <rPr>
            <b/>
            <sz val="10"/>
            <rFont val="Tahoma"/>
            <family val="2"/>
          </rPr>
          <t xml:space="preserve"> = kret1/kret2 Si kret2&lt;kret1</t>
        </r>
      </text>
    </comment>
    <comment ref="G9" authorId="2">
      <text>
        <r>
          <rPr>
            <b/>
            <sz val="8"/>
            <rFont val="Tahoma"/>
            <family val="0"/>
          </rPr>
          <t>T.BRIERE: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Vitesse linéaire moyenne du solvant</t>
        </r>
      </text>
    </comment>
    <comment ref="D13" authorId="2">
      <text>
        <r>
          <rPr>
            <b/>
            <sz val="8"/>
            <rFont val="Tahoma"/>
            <family val="0"/>
          </rPr>
          <t>T.BRIERE: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Pente a1 de l'équation d'Everett pour le composé 1
log k1 = </t>
        </r>
        <r>
          <rPr>
            <b/>
            <sz val="10"/>
            <color indexed="10"/>
            <rFont val="Tahoma"/>
            <family val="2"/>
          </rPr>
          <t>a1</t>
        </r>
        <r>
          <rPr>
            <sz val="10"/>
            <rFont val="Tahoma"/>
            <family val="2"/>
          </rPr>
          <t xml:space="preserve"> log x + b1
</t>
        </r>
        <r>
          <rPr>
            <b/>
            <sz val="10"/>
            <color indexed="12"/>
            <rFont val="Tahoma"/>
            <family val="2"/>
          </rPr>
          <t>Valeurs standard : -3 &lt; a &lt; 0</t>
        </r>
      </text>
    </comment>
    <comment ref="D14" authorId="2">
      <text>
        <r>
          <rPr>
            <b/>
            <sz val="8"/>
            <rFont val="Tahoma"/>
            <family val="0"/>
          </rPr>
          <t>T.BRIERE:</t>
        </r>
        <r>
          <rPr>
            <sz val="8"/>
            <rFont val="Tahoma"/>
            <family val="0"/>
          </rPr>
          <t xml:space="preserve">
P</t>
        </r>
        <r>
          <rPr>
            <sz val="10"/>
            <rFont val="Tahoma"/>
            <family val="2"/>
          </rPr>
          <t xml:space="preserve">ente a2 de l'équation d'Everett pour le composé 2
log k2 = </t>
        </r>
        <r>
          <rPr>
            <b/>
            <sz val="10"/>
            <color indexed="10"/>
            <rFont val="Tahoma"/>
            <family val="2"/>
          </rPr>
          <t>a2</t>
        </r>
        <r>
          <rPr>
            <sz val="10"/>
            <rFont val="Tahoma"/>
            <family val="2"/>
          </rPr>
          <t xml:space="preserve"> log x + b2
</t>
        </r>
        <r>
          <rPr>
            <b/>
            <sz val="10"/>
            <color indexed="12"/>
            <rFont val="Tahoma"/>
            <family val="2"/>
          </rPr>
          <t>Valeur standard : -3 &lt; a &lt; 0</t>
        </r>
      </text>
    </comment>
    <comment ref="G13" authorId="2">
      <text>
        <r>
          <rPr>
            <b/>
            <sz val="8"/>
            <rFont val="Tahoma"/>
            <family val="0"/>
          </rPr>
          <t>T.BRIERE: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Ordonée b1 de l'équation d'Everett pour le composé 1
log k1 = a1 log x +</t>
        </r>
        <r>
          <rPr>
            <b/>
            <sz val="10"/>
            <color indexed="10"/>
            <rFont val="Tahoma"/>
            <family val="2"/>
          </rPr>
          <t xml:space="preserve"> b1
</t>
        </r>
        <r>
          <rPr>
            <b/>
            <sz val="10"/>
            <color indexed="12"/>
            <rFont val="Tahoma"/>
            <family val="2"/>
          </rPr>
          <t>Valeur standard : -1,5 &lt; b &lt; 0</t>
        </r>
      </text>
    </comment>
    <comment ref="G14" authorId="2">
      <text>
        <r>
          <rPr>
            <b/>
            <sz val="8"/>
            <rFont val="Tahoma"/>
            <family val="0"/>
          </rPr>
          <t>T.BRIERE: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Ordonnée b2 de l'équation d'Everett pour le composé 2
log k2 = a2 log x + </t>
        </r>
        <r>
          <rPr>
            <b/>
            <sz val="10"/>
            <color indexed="10"/>
            <rFont val="Tahoma"/>
            <family val="2"/>
          </rPr>
          <t xml:space="preserve">b2
</t>
        </r>
        <r>
          <rPr>
            <b/>
            <sz val="10"/>
            <color indexed="12"/>
            <rFont val="Tahoma"/>
            <family val="2"/>
          </rPr>
          <t>Valeur standard : -1,5 &lt; b &lt; 0</t>
        </r>
      </text>
    </comment>
    <comment ref="J30" authorId="2">
      <text>
        <r>
          <rPr>
            <b/>
            <sz val="8"/>
            <rFont val="Tahoma"/>
            <family val="0"/>
          </rPr>
          <t>T.BRIERE: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tarret=1,1*max(tr1;tr2)</t>
        </r>
      </text>
    </comment>
    <comment ref="J31" authorId="2">
      <text>
        <r>
          <rPr>
            <b/>
            <sz val="8"/>
            <rFont val="Tahoma"/>
            <family val="0"/>
          </rPr>
          <t>T.BRIERE:</t>
        </r>
        <r>
          <rPr>
            <sz val="8"/>
            <rFont val="Tahoma"/>
            <family val="0"/>
          </rPr>
          <t xml:space="preserve">
Pas = tarret/100
</t>
        </r>
      </text>
    </comment>
    <comment ref="D28" authorId="2">
      <text>
        <r>
          <rPr>
            <b/>
            <sz val="8"/>
            <rFont val="Tahoma"/>
            <family val="0"/>
          </rPr>
          <t>T.BRIERE:</t>
        </r>
        <r>
          <rPr>
            <sz val="8"/>
            <rFont val="Tahoma"/>
            <family val="0"/>
          </rPr>
          <t xml:space="preserve">
temps en minutes</t>
        </r>
      </text>
    </comment>
    <comment ref="E28" authorId="2">
      <text>
        <r>
          <rPr>
            <b/>
            <sz val="8"/>
            <rFont val="Tahoma"/>
            <family val="0"/>
          </rPr>
          <t>T.BRIERE:</t>
        </r>
        <r>
          <rPr>
            <sz val="8"/>
            <rFont val="Tahoma"/>
            <family val="0"/>
          </rPr>
          <t xml:space="preserve">
pic 1 
y = 1/sigma*EXP(-((t-tR)^2)/2/sigma^2)</t>
        </r>
      </text>
    </comment>
    <comment ref="F28" authorId="2">
      <text>
        <r>
          <rPr>
            <b/>
            <sz val="8"/>
            <rFont val="Tahoma"/>
            <family val="0"/>
          </rPr>
          <t>T.BRIERE:</t>
        </r>
        <r>
          <rPr>
            <sz val="8"/>
            <rFont val="Tahoma"/>
            <family val="0"/>
          </rPr>
          <t xml:space="preserve">
pic 2 
y = 1/sigma*EXP(-((t-tR)^2)/2/sigma^2)</t>
        </r>
      </text>
    </comment>
    <comment ref="G28" authorId="2">
      <text>
        <r>
          <rPr>
            <b/>
            <sz val="8"/>
            <rFont val="Tahoma"/>
            <family val="0"/>
          </rPr>
          <t>T.BRIERE:</t>
        </r>
        <r>
          <rPr>
            <sz val="8"/>
            <rFont val="Tahoma"/>
            <family val="0"/>
          </rPr>
          <t xml:space="preserve">
chromatogramme
y = y1 + y2</t>
        </r>
      </text>
    </comment>
  </commentList>
</comments>
</file>

<file path=xl/sharedStrings.xml><?xml version="1.0" encoding="utf-8"?>
<sst xmlns="http://schemas.openxmlformats.org/spreadsheetml/2006/main" count="106" uniqueCount="97">
  <si>
    <t>Vint</t>
  </si>
  <si>
    <t>tR'A</t>
  </si>
  <si>
    <t>kA</t>
  </si>
  <si>
    <t>kB</t>
  </si>
  <si>
    <t>t</t>
  </si>
  <si>
    <t>porosité</t>
  </si>
  <si>
    <t>Longueur (cm)</t>
  </si>
  <si>
    <t>diamètre intérieur (cm)</t>
  </si>
  <si>
    <r>
      <t>s</t>
    </r>
    <r>
      <rPr>
        <b/>
        <sz val="10"/>
        <rFont val="Arial"/>
        <family val="2"/>
      </rPr>
      <t>b</t>
    </r>
  </si>
  <si>
    <r>
      <t>s</t>
    </r>
    <r>
      <rPr>
        <b/>
        <sz val="10"/>
        <rFont val="Arial"/>
        <family val="2"/>
      </rPr>
      <t>A</t>
    </r>
  </si>
  <si>
    <r>
      <t>V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>A</t>
    </r>
  </si>
  <si>
    <r>
      <t>t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>A</t>
    </r>
  </si>
  <si>
    <r>
      <t>N</t>
    </r>
    <r>
      <rPr>
        <b/>
        <vertAlign val="subscript"/>
        <sz val="10"/>
        <rFont val="Arial"/>
        <family val="2"/>
      </rPr>
      <t>eff</t>
    </r>
    <r>
      <rPr>
        <b/>
        <sz val="10"/>
        <rFont val="Arial"/>
        <family val="2"/>
      </rPr>
      <t>A</t>
    </r>
  </si>
  <si>
    <r>
      <t>V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>B</t>
    </r>
  </si>
  <si>
    <r>
      <t>t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>B</t>
    </r>
  </si>
  <si>
    <r>
      <t>t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>'B</t>
    </r>
  </si>
  <si>
    <r>
      <t>t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 xml:space="preserve"> (min)</t>
    </r>
  </si>
  <si>
    <r>
      <t>t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 xml:space="preserve"> (s)</t>
    </r>
  </si>
  <si>
    <r>
      <t>uopt (cm s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</si>
  <si>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t>Pib de B</t>
  </si>
  <si>
    <t xml:space="preserve"> pic de A</t>
  </si>
  <si>
    <r>
      <t>N</t>
    </r>
    <r>
      <rPr>
        <b/>
        <vertAlign val="subscript"/>
        <sz val="10"/>
        <rFont val="Arial"/>
        <family val="2"/>
      </rPr>
      <t>eff</t>
    </r>
    <r>
      <rPr>
        <b/>
        <sz val="10"/>
        <rFont val="Arial"/>
        <family val="2"/>
      </rPr>
      <t>B</t>
    </r>
  </si>
  <si>
    <r>
      <t xml:space="preserve"> </t>
    </r>
    <r>
      <rPr>
        <b/>
        <sz val="10"/>
        <color indexed="12"/>
        <rFont val="Arial"/>
        <family val="2"/>
      </rPr>
      <t>Paramètres Fondamentaux</t>
    </r>
  </si>
  <si>
    <t>Paramètres Déduits</t>
  </si>
  <si>
    <t>R "vrai"</t>
  </si>
  <si>
    <t>R "approx 1"</t>
  </si>
  <si>
    <t>R "approx 2"</t>
  </si>
  <si>
    <t>R "Purnel"</t>
  </si>
  <si>
    <t>t arrêt</t>
  </si>
  <si>
    <t>Pas</t>
  </si>
  <si>
    <r>
      <t>diamètre particules (</t>
    </r>
    <r>
      <rPr>
        <b/>
        <sz val="8"/>
        <rFont val="Symbol"/>
        <family val="1"/>
      </rPr>
      <t>m</t>
    </r>
    <r>
      <rPr>
        <b/>
        <sz val="8"/>
        <rFont val="Arial"/>
        <family val="2"/>
      </rPr>
      <t>m)</t>
    </r>
  </si>
  <si>
    <r>
      <t>hopt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m)</t>
    </r>
  </si>
  <si>
    <r>
      <t>Debit optimal (mL.min</t>
    </r>
    <r>
      <rPr>
        <b/>
        <vertAlign val="superscript"/>
        <sz val="8"/>
        <rFont val="Arial"/>
        <family val="2"/>
      </rPr>
      <t>-1</t>
    </r>
    <r>
      <rPr>
        <b/>
        <sz val="8"/>
        <rFont val="Arial"/>
        <family val="2"/>
      </rPr>
      <t>)</t>
    </r>
  </si>
  <si>
    <t>Débit</t>
  </si>
  <si>
    <t>u (cm s-1)</t>
  </si>
  <si>
    <t>A (cm)</t>
  </si>
  <si>
    <r>
      <t>B 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.s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</si>
  <si>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t>C (s)</t>
  </si>
  <si>
    <t>N attendu</t>
  </si>
  <si>
    <t>N vrai</t>
  </si>
  <si>
    <t>K eq B</t>
  </si>
  <si>
    <t>k ret B</t>
  </si>
  <si>
    <t>K eq A</t>
  </si>
  <si>
    <t>k Ret A</t>
  </si>
  <si>
    <t>RESOLUTION</t>
  </si>
  <si>
    <t>Vmort</t>
  </si>
  <si>
    <t>Vstat</t>
  </si>
  <si>
    <r>
      <t>h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m)</t>
    </r>
  </si>
  <si>
    <t>x</t>
  </si>
  <si>
    <t>alpha</t>
  </si>
  <si>
    <t>chromatogramme</t>
  </si>
  <si>
    <t>tR1</t>
  </si>
  <si>
    <t>tR2</t>
  </si>
  <si>
    <r>
      <t xml:space="preserve">Simulateur de chromatogrammes avec effet de solvant par </t>
    </r>
    <r>
      <rPr>
        <b/>
        <u val="single"/>
        <sz val="14"/>
        <color indexed="12"/>
        <rFont val="Arial"/>
        <family val="2"/>
      </rPr>
      <t>Thierry Briere</t>
    </r>
  </si>
  <si>
    <r>
      <t>D</t>
    </r>
    <r>
      <rPr>
        <b/>
        <sz val="10"/>
        <rFont val="Arial"/>
        <family val="2"/>
      </rPr>
      <t>A = a1-a2</t>
    </r>
  </si>
  <si>
    <r>
      <t>D</t>
    </r>
    <r>
      <rPr>
        <b/>
        <sz val="10"/>
        <rFont val="Arial"/>
        <family val="2"/>
      </rPr>
      <t>b = b1-b2</t>
    </r>
  </si>
  <si>
    <t>x %</t>
  </si>
  <si>
    <t>log k1</t>
  </si>
  <si>
    <t>logk2</t>
  </si>
  <si>
    <t>log x</t>
  </si>
  <si>
    <t>k1</t>
  </si>
  <si>
    <t>k2</t>
  </si>
  <si>
    <r>
      <t xml:space="preserve">sélectivité </t>
    </r>
    <r>
      <rPr>
        <sz val="10"/>
        <rFont val="Symbol"/>
        <family val="1"/>
      </rPr>
      <t>a</t>
    </r>
  </si>
  <si>
    <t>R</t>
  </si>
  <si>
    <t>s1</t>
  </si>
  <si>
    <t>s2</t>
  </si>
  <si>
    <t>R=1,5</t>
  </si>
  <si>
    <t>R Purnel</t>
  </si>
  <si>
    <t>xdepart (%)</t>
  </si>
  <si>
    <t>xarrivee (%)</t>
  </si>
  <si>
    <t>x maxi vrai</t>
  </si>
  <si>
    <r>
      <t>R</t>
    </r>
    <r>
      <rPr>
        <b/>
        <vertAlign val="subscript"/>
        <sz val="10"/>
        <color indexed="10"/>
        <rFont val="Arial"/>
        <family val="2"/>
      </rPr>
      <t>100</t>
    </r>
  </si>
  <si>
    <t>VERSION 2</t>
  </si>
  <si>
    <t>x maxi ap</t>
  </si>
  <si>
    <t>x mini %</t>
  </si>
  <si>
    <t>Macro x vrai</t>
  </si>
  <si>
    <r>
      <t xml:space="preserve">sélectivité </t>
    </r>
    <r>
      <rPr>
        <b/>
        <sz val="10"/>
        <rFont val="Symbol"/>
        <family val="1"/>
      </rPr>
      <t>a</t>
    </r>
  </si>
  <si>
    <t>tRA</t>
  </si>
  <si>
    <t>tRB</t>
  </si>
  <si>
    <r>
      <t>s</t>
    </r>
    <r>
      <rPr>
        <b/>
        <sz val="10"/>
        <rFont val="Arial"/>
        <family val="0"/>
      </rPr>
      <t>A</t>
    </r>
  </si>
  <si>
    <r>
      <t>s</t>
    </r>
    <r>
      <rPr>
        <b/>
        <sz val="10"/>
        <rFont val="Arial"/>
        <family val="0"/>
      </rPr>
      <t>B</t>
    </r>
  </si>
  <si>
    <t>picA</t>
  </si>
  <si>
    <t>picB</t>
  </si>
  <si>
    <t>x (%)</t>
  </si>
  <si>
    <t>aA</t>
  </si>
  <si>
    <t>aB</t>
  </si>
  <si>
    <t>bA</t>
  </si>
  <si>
    <t>bB</t>
  </si>
  <si>
    <t>PENTE</t>
  </si>
  <si>
    <t>ORDONNEE</t>
  </si>
  <si>
    <t>Cette création est mise à disposition sous un contrat Creative Commons.</t>
  </si>
  <si>
    <t>Vous pouvez l’utiliser à des fins pédagogiques et NON COMMERCIALES,</t>
  </si>
  <si>
    <t xml:space="preserve">sous certaines réserves dont la citation obligatoire du nom de son auteur et l’adresse </t>
  </si>
  <si>
    <t xml:space="preserve">http://www2.univ-reunion/~briere de son site d’origine pour que vos étudiants </t>
  </si>
  <si>
    <t>puissent y accéder. Merci par avance de respecter ces consignes. Voir contrat…</t>
  </si>
  <si>
    <t>briere@univ-reunion.fr</t>
  </si>
  <si>
    <t>http://www2.univ-reunion.fr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</si>
</sst>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000"/>
    <numFmt numFmtId="174" formatCode="0.00000"/>
    <numFmt numFmtId="175" formatCode="&quot;Vrai&quot;;&quot;Vrai&quot;;&quot;Faux&quot;"/>
    <numFmt numFmtId="176" formatCode="&quot;Actif&quot;;&quot;Actif&quot;;&quot;Inactif&quot;"/>
    <numFmt numFmtId="177" formatCode="0.000E+00"/>
  </numFmts>
  <fonts count="5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Symbol"/>
      <family val="1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Symbol"/>
      <family val="1"/>
    </font>
    <font>
      <b/>
      <u val="single"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Tahoma"/>
      <family val="2"/>
    </font>
    <font>
      <b/>
      <sz val="8"/>
      <name val="Symbol"/>
      <family val="1"/>
    </font>
    <font>
      <sz val="8"/>
      <name val="Arial"/>
      <family val="0"/>
    </font>
    <font>
      <b/>
      <sz val="8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vertAlign val="superscript"/>
      <sz val="8"/>
      <name val="Arial"/>
      <family val="2"/>
    </font>
    <font>
      <b/>
      <vertAlign val="subscript"/>
      <sz val="8"/>
      <color indexed="10"/>
      <name val="Tahoma"/>
      <family val="2"/>
    </font>
    <font>
      <b/>
      <vertAlign val="superscript"/>
      <sz val="8"/>
      <name val="Tahoma"/>
      <family val="2"/>
    </font>
    <font>
      <b/>
      <sz val="8"/>
      <color indexed="61"/>
      <name val="Tahoma"/>
      <family val="2"/>
    </font>
    <font>
      <b/>
      <sz val="10"/>
      <color indexed="61"/>
      <name val="Tahoma"/>
      <family val="2"/>
    </font>
    <font>
      <b/>
      <vertAlign val="superscript"/>
      <sz val="10"/>
      <color indexed="61"/>
      <name val="Tahoma"/>
      <family val="2"/>
    </font>
    <font>
      <b/>
      <vertAlign val="superscript"/>
      <sz val="8"/>
      <color indexed="61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vertAlign val="superscript"/>
      <sz val="10"/>
      <color indexed="10"/>
      <name val="Tahoma"/>
      <family val="2"/>
    </font>
    <font>
      <b/>
      <sz val="10"/>
      <color indexed="12"/>
      <name val="Tahoma"/>
      <family val="2"/>
    </font>
    <font>
      <b/>
      <sz val="10"/>
      <color indexed="14"/>
      <name val="Tahoma"/>
      <family val="2"/>
    </font>
    <font>
      <sz val="8"/>
      <color indexed="20"/>
      <name val="Tahoma"/>
      <family val="2"/>
    </font>
    <font>
      <b/>
      <sz val="8"/>
      <color indexed="20"/>
      <name val="Tahoma"/>
      <family val="2"/>
    </font>
    <font>
      <sz val="5.75"/>
      <name val="Arial"/>
      <family val="0"/>
    </font>
    <font>
      <b/>
      <u val="single"/>
      <sz val="14"/>
      <color indexed="12"/>
      <name val="Arial"/>
      <family val="2"/>
    </font>
    <font>
      <sz val="10"/>
      <name val="Tahoma"/>
      <family val="2"/>
    </font>
    <font>
      <b/>
      <sz val="10"/>
      <color indexed="12"/>
      <name val="Symbol"/>
      <family val="1"/>
    </font>
    <font>
      <b/>
      <sz val="12"/>
      <name val="Arial"/>
      <family val="2"/>
    </font>
    <font>
      <sz val="10"/>
      <name val="Symbol"/>
      <family val="1"/>
    </font>
    <font>
      <b/>
      <sz val="5"/>
      <name val="Arial"/>
      <family val="0"/>
    </font>
    <font>
      <sz val="5"/>
      <name val="Arial"/>
      <family val="0"/>
    </font>
    <font>
      <sz val="8.5"/>
      <name val="Arial"/>
      <family val="0"/>
    </font>
    <font>
      <b/>
      <sz val="13.5"/>
      <name val="Arial"/>
      <family val="2"/>
    </font>
    <font>
      <b/>
      <sz val="12"/>
      <color indexed="10"/>
      <name val="Arial"/>
      <family val="2"/>
    </font>
    <font>
      <b/>
      <vertAlign val="subscript"/>
      <sz val="10"/>
      <color indexed="10"/>
      <name val="Arial"/>
      <family val="2"/>
    </font>
    <font>
      <b/>
      <sz val="9"/>
      <name val="Arial"/>
      <family val="2"/>
    </font>
    <font>
      <b/>
      <sz val="10.5"/>
      <color indexed="12"/>
      <name val="Arial"/>
      <family val="0"/>
    </font>
    <font>
      <b/>
      <sz val="10.5"/>
      <color indexed="12"/>
      <name val="Symbol"/>
      <family val="1"/>
    </font>
    <font>
      <b/>
      <sz val="12"/>
      <color indexed="12"/>
      <name val="Arial"/>
      <family val="2"/>
    </font>
    <font>
      <b/>
      <sz val="8"/>
      <color indexed="10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172" fontId="1" fillId="2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72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72" fontId="2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72" fontId="2" fillId="4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72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11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1" fontId="1" fillId="3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74" fontId="1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2" borderId="3" xfId="0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0" fontId="3" fillId="3" borderId="1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6" fillId="4" borderId="1" xfId="0" applyFont="1" applyFill="1" applyBorder="1" applyAlignment="1">
      <alignment horizontal="center"/>
    </xf>
    <xf numFmtId="2" fontId="41" fillId="4" borderId="1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70" fontId="35" fillId="0" borderId="0" xfId="18" applyFont="1" applyFill="1" applyBorder="1" applyAlignment="1">
      <alignment/>
    </xf>
    <xf numFmtId="2" fontId="2" fillId="2" borderId="1" xfId="0" applyNumberFormat="1" applyFont="1" applyFill="1" applyBorder="1" applyAlignment="1">
      <alignment horizontal="center"/>
    </xf>
    <xf numFmtId="0" fontId="43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5" borderId="1" xfId="0" applyFont="1" applyFill="1" applyBorder="1" applyAlignment="1">
      <alignment/>
    </xf>
    <xf numFmtId="0" fontId="35" fillId="0" borderId="0" xfId="18" applyNumberFormat="1" applyFont="1" applyFill="1" applyBorder="1" applyAlignment="1">
      <alignment/>
    </xf>
    <xf numFmtId="0" fontId="9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72" fontId="1" fillId="2" borderId="1" xfId="0" applyNumberFormat="1" applyFont="1" applyFill="1" applyBorder="1" applyAlignment="1">
      <alignment horizontal="center"/>
    </xf>
    <xf numFmtId="173" fontId="1" fillId="2" borderId="1" xfId="0" applyNumberFormat="1" applyFont="1" applyFill="1" applyBorder="1" applyAlignment="1">
      <alignment horizontal="center"/>
    </xf>
    <xf numFmtId="173" fontId="3" fillId="2" borderId="1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47" fillId="3" borderId="4" xfId="0" applyFont="1" applyFill="1" applyBorder="1" applyAlignment="1">
      <alignment/>
    </xf>
    <xf numFmtId="0" fontId="47" fillId="3" borderId="5" xfId="0" applyFont="1" applyFill="1" applyBorder="1" applyAlignment="1">
      <alignment/>
    </xf>
    <xf numFmtId="0" fontId="47" fillId="3" borderId="6" xfId="0" applyFont="1" applyFill="1" applyBorder="1" applyAlignment="1">
      <alignment/>
    </xf>
    <xf numFmtId="0" fontId="47" fillId="3" borderId="7" xfId="0" applyFont="1" applyFill="1" applyBorder="1" applyAlignment="1">
      <alignment/>
    </xf>
    <xf numFmtId="0" fontId="47" fillId="3" borderId="0" xfId="0" applyFont="1" applyFill="1" applyBorder="1" applyAlignment="1">
      <alignment/>
    </xf>
    <xf numFmtId="0" fontId="47" fillId="3" borderId="8" xfId="0" applyFont="1" applyFill="1" applyBorder="1" applyAlignment="1">
      <alignment/>
    </xf>
    <xf numFmtId="0" fontId="47" fillId="3" borderId="9" xfId="0" applyFont="1" applyFill="1" applyBorder="1" applyAlignment="1">
      <alignment horizontal="left"/>
    </xf>
    <xf numFmtId="0" fontId="47" fillId="3" borderId="10" xfId="0" applyFont="1" applyFill="1" applyBorder="1" applyAlignment="1">
      <alignment/>
    </xf>
    <xf numFmtId="0" fontId="47" fillId="3" borderId="11" xfId="0" applyFont="1" applyFill="1" applyBorder="1" applyAlignment="1">
      <alignment/>
    </xf>
    <xf numFmtId="0" fontId="48" fillId="2" borderId="2" xfId="15" applyFont="1" applyFill="1" applyBorder="1" applyAlignment="1">
      <alignment horizontal="center"/>
    </xf>
    <xf numFmtId="0" fontId="48" fillId="2" borderId="12" xfId="15" applyFont="1" applyFill="1" applyBorder="1" applyAlignment="1">
      <alignment horizontal="center"/>
    </xf>
    <xf numFmtId="0" fontId="48" fillId="2" borderId="13" xfId="15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47" fillId="3" borderId="2" xfId="0" applyFont="1" applyFill="1" applyBorder="1" applyAlignment="1">
      <alignment horizontal="center"/>
    </xf>
    <xf numFmtId="0" fontId="47" fillId="3" borderId="13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49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3">
    <dxf>
      <font>
        <b/>
        <i val="0"/>
        <strike val="0"/>
        <color rgb="FF0000FF"/>
      </font>
      <fill>
        <patternFill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FF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chromatogramme</a:t>
            </a:r>
          </a:p>
        </c:rich>
      </c:tx>
      <c:layout>
        <c:manualLayout>
          <c:xMode val="factor"/>
          <c:yMode val="factor"/>
          <c:x val="-0.2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27"/>
          <c:w val="0.934"/>
          <c:h val="0.8425"/>
        </c:manualLayout>
      </c:layout>
      <c:scatterChart>
        <c:scatterStyle val="smooth"/>
        <c:varyColors val="0"/>
        <c:ser>
          <c:idx val="2"/>
          <c:order val="0"/>
          <c:tx>
            <c:strRef>
              <c:f>Feuil1!$H$28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Feuil1!$D$29:$D$149</c:f>
              <c:numCache/>
            </c:numRef>
          </c:xVal>
          <c:yVal>
            <c:numRef>
              <c:f>Feuil1!$H$29:$H$149</c:f>
              <c:numCache/>
            </c:numRef>
          </c:yVal>
          <c:smooth val="1"/>
        </c:ser>
        <c:axId val="30802622"/>
        <c:axId val="8788143"/>
      </c:scatterChart>
      <c:valAx>
        <c:axId val="30802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88143"/>
        <c:crosses val="autoZero"/>
        <c:crossBetween val="midCat"/>
        <c:dispUnits/>
      </c:valAx>
      <c:valAx>
        <c:axId val="87881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026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pics individuels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Feuil1!$E$28</c:f>
              <c:strCache>
                <c:ptCount val="1"/>
                <c:pt idx="0">
                  <c:v>picA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Feuil1!$D$29:$D$149</c:f>
              <c:numCache/>
            </c:numRef>
          </c:xVal>
          <c:yVal>
            <c:numRef>
              <c:f>Feuil1!$E$29:$E$149</c:f>
              <c:numCache/>
            </c:numRef>
          </c:yVal>
          <c:smooth val="1"/>
        </c:ser>
        <c:ser>
          <c:idx val="1"/>
          <c:order val="1"/>
          <c:tx>
            <c:strRef>
              <c:f>Feuil1!$F$28</c:f>
              <c:strCache>
                <c:ptCount val="1"/>
                <c:pt idx="0">
                  <c:v>picB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Feuil1!$D$29:$D$149</c:f>
              <c:numCache/>
            </c:numRef>
          </c:xVal>
          <c:yVal>
            <c:numRef>
              <c:f>Feuil1!$F$29:$F$149</c:f>
              <c:numCache/>
            </c:numRef>
          </c:yVal>
          <c:smooth val="1"/>
        </c:ser>
        <c:axId val="11984424"/>
        <c:axId val="40750953"/>
      </c:scatterChart>
      <c:valAx>
        <c:axId val="11984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50953"/>
        <c:crosses val="autoZero"/>
        <c:crossBetween val="midCat"/>
        <c:dispUnits/>
      </c:valAx>
      <c:valAx>
        <c:axId val="407509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844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Résolution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Feuil2!$N$5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Feuil2!$A$6:$A$106</c:f>
              <c:numCache>
                <c:ptCount val="101"/>
                <c:pt idx="0">
                  <c:v>0.0001</c:v>
                </c:pt>
                <c:pt idx="1">
                  <c:v>1.0001</c:v>
                </c:pt>
                <c:pt idx="2">
                  <c:v>2.0000999999999998</c:v>
                </c:pt>
                <c:pt idx="3">
                  <c:v>3.0000999999999998</c:v>
                </c:pt>
                <c:pt idx="4">
                  <c:v>4.0001</c:v>
                </c:pt>
                <c:pt idx="5">
                  <c:v>5.0001</c:v>
                </c:pt>
                <c:pt idx="6">
                  <c:v>6.0001</c:v>
                </c:pt>
                <c:pt idx="7">
                  <c:v>7.0001</c:v>
                </c:pt>
                <c:pt idx="8">
                  <c:v>8.0001</c:v>
                </c:pt>
                <c:pt idx="9">
                  <c:v>9.0001</c:v>
                </c:pt>
                <c:pt idx="10">
                  <c:v>10.0001</c:v>
                </c:pt>
                <c:pt idx="11">
                  <c:v>11.0001</c:v>
                </c:pt>
                <c:pt idx="12">
                  <c:v>12.0001</c:v>
                </c:pt>
                <c:pt idx="13">
                  <c:v>13.0001</c:v>
                </c:pt>
                <c:pt idx="14">
                  <c:v>14.0001</c:v>
                </c:pt>
                <c:pt idx="15">
                  <c:v>15.0001</c:v>
                </c:pt>
                <c:pt idx="16">
                  <c:v>16.0001</c:v>
                </c:pt>
                <c:pt idx="17">
                  <c:v>17.0001</c:v>
                </c:pt>
                <c:pt idx="18">
                  <c:v>18.0001</c:v>
                </c:pt>
                <c:pt idx="19">
                  <c:v>19.0001</c:v>
                </c:pt>
                <c:pt idx="20">
                  <c:v>20.0001</c:v>
                </c:pt>
                <c:pt idx="21">
                  <c:v>21.0001</c:v>
                </c:pt>
                <c:pt idx="22">
                  <c:v>22.0001</c:v>
                </c:pt>
                <c:pt idx="23">
                  <c:v>23.0001</c:v>
                </c:pt>
                <c:pt idx="24">
                  <c:v>24.0001</c:v>
                </c:pt>
                <c:pt idx="25">
                  <c:v>25.0001</c:v>
                </c:pt>
                <c:pt idx="26">
                  <c:v>26.0001</c:v>
                </c:pt>
                <c:pt idx="27">
                  <c:v>27.0001</c:v>
                </c:pt>
                <c:pt idx="28">
                  <c:v>28.0001</c:v>
                </c:pt>
                <c:pt idx="29">
                  <c:v>29.0001</c:v>
                </c:pt>
                <c:pt idx="30">
                  <c:v>30.0001</c:v>
                </c:pt>
                <c:pt idx="31">
                  <c:v>31.0001</c:v>
                </c:pt>
                <c:pt idx="32">
                  <c:v>32.0001</c:v>
                </c:pt>
                <c:pt idx="33">
                  <c:v>33.0001</c:v>
                </c:pt>
                <c:pt idx="34">
                  <c:v>34.0001</c:v>
                </c:pt>
                <c:pt idx="35">
                  <c:v>35.0001</c:v>
                </c:pt>
                <c:pt idx="36">
                  <c:v>36.0001</c:v>
                </c:pt>
                <c:pt idx="37">
                  <c:v>37.0001</c:v>
                </c:pt>
                <c:pt idx="38">
                  <c:v>38.0001</c:v>
                </c:pt>
                <c:pt idx="39">
                  <c:v>39.0001</c:v>
                </c:pt>
                <c:pt idx="40">
                  <c:v>40.0001</c:v>
                </c:pt>
                <c:pt idx="41">
                  <c:v>41.0001</c:v>
                </c:pt>
                <c:pt idx="42">
                  <c:v>42.0001</c:v>
                </c:pt>
                <c:pt idx="43">
                  <c:v>43.0001</c:v>
                </c:pt>
                <c:pt idx="44">
                  <c:v>44.0001</c:v>
                </c:pt>
                <c:pt idx="45">
                  <c:v>45.0001</c:v>
                </c:pt>
                <c:pt idx="46">
                  <c:v>46.0001</c:v>
                </c:pt>
                <c:pt idx="47">
                  <c:v>47.0001</c:v>
                </c:pt>
                <c:pt idx="48">
                  <c:v>48.0001</c:v>
                </c:pt>
                <c:pt idx="49">
                  <c:v>49.0001</c:v>
                </c:pt>
                <c:pt idx="50">
                  <c:v>50.0001</c:v>
                </c:pt>
                <c:pt idx="51">
                  <c:v>51.0001</c:v>
                </c:pt>
                <c:pt idx="52">
                  <c:v>52.0001</c:v>
                </c:pt>
                <c:pt idx="53">
                  <c:v>53.0001</c:v>
                </c:pt>
                <c:pt idx="54">
                  <c:v>54.0001</c:v>
                </c:pt>
                <c:pt idx="55">
                  <c:v>55.0001</c:v>
                </c:pt>
                <c:pt idx="56">
                  <c:v>56.0001</c:v>
                </c:pt>
                <c:pt idx="57">
                  <c:v>57.0001</c:v>
                </c:pt>
                <c:pt idx="58">
                  <c:v>58.0001</c:v>
                </c:pt>
                <c:pt idx="59">
                  <c:v>59.0001</c:v>
                </c:pt>
                <c:pt idx="60">
                  <c:v>60.0001</c:v>
                </c:pt>
                <c:pt idx="61">
                  <c:v>61.0001</c:v>
                </c:pt>
                <c:pt idx="62">
                  <c:v>62.0001</c:v>
                </c:pt>
                <c:pt idx="63">
                  <c:v>63.0001</c:v>
                </c:pt>
                <c:pt idx="64">
                  <c:v>64.0001</c:v>
                </c:pt>
                <c:pt idx="65">
                  <c:v>65.0001</c:v>
                </c:pt>
                <c:pt idx="66">
                  <c:v>66.0001</c:v>
                </c:pt>
                <c:pt idx="67">
                  <c:v>67.0001</c:v>
                </c:pt>
                <c:pt idx="68">
                  <c:v>68.0001</c:v>
                </c:pt>
                <c:pt idx="69">
                  <c:v>69.0001</c:v>
                </c:pt>
                <c:pt idx="70">
                  <c:v>70.0001</c:v>
                </c:pt>
                <c:pt idx="71">
                  <c:v>71.0001</c:v>
                </c:pt>
                <c:pt idx="72">
                  <c:v>72.0001</c:v>
                </c:pt>
                <c:pt idx="73">
                  <c:v>73.0001</c:v>
                </c:pt>
                <c:pt idx="74">
                  <c:v>74.0001</c:v>
                </c:pt>
                <c:pt idx="75">
                  <c:v>75.0001</c:v>
                </c:pt>
                <c:pt idx="76">
                  <c:v>76.0001</c:v>
                </c:pt>
                <c:pt idx="77">
                  <c:v>77.0001</c:v>
                </c:pt>
                <c:pt idx="78">
                  <c:v>78.0001</c:v>
                </c:pt>
                <c:pt idx="79">
                  <c:v>79.0001</c:v>
                </c:pt>
                <c:pt idx="80">
                  <c:v>80.0001</c:v>
                </c:pt>
                <c:pt idx="81">
                  <c:v>81.0001</c:v>
                </c:pt>
                <c:pt idx="82">
                  <c:v>82.0001</c:v>
                </c:pt>
                <c:pt idx="83">
                  <c:v>83.0001</c:v>
                </c:pt>
                <c:pt idx="84">
                  <c:v>84.0001</c:v>
                </c:pt>
                <c:pt idx="85">
                  <c:v>85.0001</c:v>
                </c:pt>
                <c:pt idx="86">
                  <c:v>86.0001</c:v>
                </c:pt>
                <c:pt idx="87">
                  <c:v>87.0001</c:v>
                </c:pt>
                <c:pt idx="88">
                  <c:v>88.0001</c:v>
                </c:pt>
                <c:pt idx="89">
                  <c:v>89.0001</c:v>
                </c:pt>
                <c:pt idx="90">
                  <c:v>90.0001</c:v>
                </c:pt>
                <c:pt idx="91">
                  <c:v>91.0001</c:v>
                </c:pt>
                <c:pt idx="92">
                  <c:v>92.0001</c:v>
                </c:pt>
                <c:pt idx="93">
                  <c:v>93.0001</c:v>
                </c:pt>
                <c:pt idx="94">
                  <c:v>94.0001</c:v>
                </c:pt>
                <c:pt idx="95">
                  <c:v>95.0001</c:v>
                </c:pt>
                <c:pt idx="96">
                  <c:v>96.0001</c:v>
                </c:pt>
                <c:pt idx="97">
                  <c:v>97.0001</c:v>
                </c:pt>
                <c:pt idx="98">
                  <c:v>98.0001</c:v>
                </c:pt>
                <c:pt idx="99">
                  <c:v>99.0001</c:v>
                </c:pt>
                <c:pt idx="100">
                  <c:v>100.0001</c:v>
                </c:pt>
              </c:numCache>
            </c:numRef>
          </c:xVal>
          <c:yVal>
            <c:numRef>
              <c:f>Feuil2!$N$6:$N$106</c:f>
              <c:numCache>
                <c:ptCount val="101"/>
                <c:pt idx="0">
                  <c:v>36.7210109694733</c:v>
                </c:pt>
                <c:pt idx="1">
                  <c:v>36.64521073287342</c:v>
                </c:pt>
                <c:pt idx="2">
                  <c:v>36.50006008734017</c:v>
                </c:pt>
                <c:pt idx="3">
                  <c:v>36.3020912880967</c:v>
                </c:pt>
                <c:pt idx="4">
                  <c:v>36.057708308720585</c:v>
                </c:pt>
                <c:pt idx="5">
                  <c:v>35.771266995402435</c:v>
                </c:pt>
                <c:pt idx="6">
                  <c:v>35.44631427517766</c:v>
                </c:pt>
                <c:pt idx="7">
                  <c:v>35.08600463362319</c:v>
                </c:pt>
                <c:pt idx="8">
                  <c:v>34.69327611543706</c:v>
                </c:pt>
                <c:pt idx="9">
                  <c:v>34.270932207883995</c:v>
                </c:pt>
                <c:pt idx="10">
                  <c:v>33.821680394286446</c:v>
                </c:pt>
                <c:pt idx="11">
                  <c:v>33.348148722456045</c:v>
                </c:pt>
                <c:pt idx="12">
                  <c:v>32.85289062139584</c:v>
                </c:pt>
                <c:pt idx="13">
                  <c:v>32.338383369603825</c:v>
                </c:pt>
                <c:pt idx="14">
                  <c:v>31.80702327994213</c:v>
                </c:pt>
                <c:pt idx="15">
                  <c:v>31.261119430367923</c:v>
                </c:pt>
                <c:pt idx="16">
                  <c:v>30.702887066701397</c:v>
                </c:pt>
                <c:pt idx="17">
                  <c:v>30.134441377411147</c:v>
                </c:pt>
                <c:pt idx="18">
                  <c:v>29.557792068055168</c:v>
                </c:pt>
                <c:pt idx="19">
                  <c:v>28.97483898159681</c:v>
                </c:pt>
                <c:pt idx="20">
                  <c:v>28.387368886373462</c:v>
                </c:pt>
                <c:pt idx="21">
                  <c:v>27.797053466760946</c:v>
                </c:pt>
                <c:pt idx="22">
                  <c:v>27.205448491031394</c:v>
                </c:pt>
                <c:pt idx="23">
                  <c:v>26.61399408927769</c:v>
                </c:pt>
                <c:pt idx="24">
                  <c:v>26.024016046727148</c:v>
                </c:pt>
                <c:pt idx="25">
                  <c:v>25.436728000870122</c:v>
                </c:pt>
                <c:pt idx="26">
                  <c:v>24.853234422056588</c:v>
                </c:pt>
                <c:pt idx="27">
                  <c:v>24.274534254612554</c:v>
                </c:pt>
                <c:pt idx="28">
                  <c:v>23.701525097552622</c:v>
                </c:pt>
                <c:pt idx="29">
                  <c:v>23.13500780936742</c:v>
                </c:pt>
                <c:pt idx="30">
                  <c:v>22.575691429132714</c:v>
                </c:pt>
                <c:pt idx="31">
                  <c:v>22.024198315501213</c:v>
                </c:pt>
                <c:pt idx="32">
                  <c:v>21.481069415339718</c:v>
                </c:pt>
                <c:pt idx="33">
                  <c:v>20.9467695843427</c:v>
                </c:pt>
                <c:pt idx="34">
                  <c:v>20.42169289248657</c:v>
                </c:pt>
                <c:pt idx="35">
                  <c:v>19.90616785738232</c:v>
                </c:pt>
                <c:pt idx="36">
                  <c:v>19.40046255822194</c:v>
                </c:pt>
                <c:pt idx="37">
                  <c:v>18.90478959194554</c:v>
                </c:pt>
                <c:pt idx="38">
                  <c:v>18.41931084139208</c:v>
                </c:pt>
                <c:pt idx="39">
                  <c:v>17.944142032490916</c:v>
                </c:pt>
                <c:pt idx="40">
                  <c:v>17.479357063995508</c:v>
                </c:pt>
                <c:pt idx="41">
                  <c:v>17.024992098871362</c:v>
                </c:pt>
                <c:pt idx="42">
                  <c:v>16.581049411266278</c:v>
                </c:pt>
                <c:pt idx="43">
                  <c:v>16.147500987062475</c:v>
                </c:pt>
                <c:pt idx="44">
                  <c:v>15.724291879397517</c:v>
                </c:pt>
                <c:pt idx="45">
                  <c:v>15.31134332330866</c:v>
                </c:pt>
                <c:pt idx="46">
                  <c:v>14.90855561586902</c:v>
                </c:pt>
                <c:pt idx="47">
                  <c:v>14.515810769909718</c:v>
                </c:pt>
                <c:pt idx="48">
                  <c:v>14.13297495072185</c:v>
                </c:pt>
                <c:pt idx="49">
                  <c:v>13.759900706065704</c:v>
                </c:pt>
                <c:pt idx="50">
                  <c:v>13.396429000436301</c:v>
                </c:pt>
                <c:pt idx="51">
                  <c:v>13.042391064893886</c:v>
                </c:pt>
                <c:pt idx="52">
                  <c:v>12.697610073910461</c:v>
                </c:pt>
                <c:pt idx="53">
                  <c:v>12.361902660648452</c:v>
                </c:pt>
                <c:pt idx="54">
                  <c:v>12.035080281910142</c:v>
                </c:pt>
                <c:pt idx="55">
                  <c:v>11.716950443706814</c:v>
                </c:pt>
                <c:pt idx="56">
                  <c:v>11.407317798021259</c:v>
                </c:pt>
                <c:pt idx="57">
                  <c:v>11.10598512089793</c:v>
                </c:pt>
                <c:pt idx="58">
                  <c:v>10.81275418151132</c:v>
                </c:pt>
                <c:pt idx="59">
                  <c:v>10.527426511349912</c:v>
                </c:pt>
                <c:pt idx="60">
                  <c:v>10.249804082123722</c:v>
                </c:pt>
                <c:pt idx="61">
                  <c:v>9.979689900468703</c:v>
                </c:pt>
                <c:pt idx="62">
                  <c:v>9.716888526989052</c:v>
                </c:pt>
                <c:pt idx="63">
                  <c:v>9.461206526655733</c:v>
                </c:pt>
                <c:pt idx="64">
                  <c:v>9.212452857071856</c:v>
                </c:pt>
                <c:pt idx="65">
                  <c:v>8.970439200625835</c:v>
                </c:pt>
                <c:pt idx="66">
                  <c:v>8.734980246085204</c:v>
                </c:pt>
                <c:pt idx="67">
                  <c:v>8.505893924739093</c:v>
                </c:pt>
                <c:pt idx="68">
                  <c:v>8.28300160577686</c:v>
                </c:pt>
                <c:pt idx="69">
                  <c:v>8.066128255194728</c:v>
                </c:pt>
                <c:pt idx="70">
                  <c:v>7.8551025621519575</c:v>
                </c:pt>
                <c:pt idx="71">
                  <c:v>7.6497570363523275</c:v>
                </c:pt>
                <c:pt idx="72">
                  <c:v>7.449928079705315</c:v>
                </c:pt>
                <c:pt idx="73">
                  <c:v>7.255456035223515</c:v>
                </c:pt>
                <c:pt idx="74">
                  <c:v>7.066185215837155</c:v>
                </c:pt>
                <c:pt idx="75">
                  <c:v>6.881963915552913</c:v>
                </c:pt>
                <c:pt idx="76">
                  <c:v>6.70264440515042</c:v>
                </c:pt>
                <c:pt idx="77">
                  <c:v>6.52808291439539</c:v>
                </c:pt>
                <c:pt idx="78">
                  <c:v>6.358139602551925</c:v>
                </c:pt>
                <c:pt idx="79">
                  <c:v>6.1926785187968845</c:v>
                </c:pt>
                <c:pt idx="80">
                  <c:v>6.031567553975083</c:v>
                </c:pt>
                <c:pt idx="81">
                  <c:v>5.874678384984796</c:v>
                </c:pt>
                <c:pt idx="82">
                  <c:v>5.721886412947036</c:v>
                </c:pt>
                <c:pt idx="83">
                  <c:v>5.573070696188273</c:v>
                </c:pt>
                <c:pt idx="84">
                  <c:v>5.428113878954498</c:v>
                </c:pt>
                <c:pt idx="85">
                  <c:v>5.286902116672658</c:v>
                </c:pt>
                <c:pt idx="86">
                  <c:v>5.149324998483675</c:v>
                </c:pt>
                <c:pt idx="87">
                  <c:v>5.01527546768816</c:v>
                </c:pt>
                <c:pt idx="88">
                  <c:v>4.884649740670964</c:v>
                </c:pt>
                <c:pt idx="89">
                  <c:v>4.75734722480299</c:v>
                </c:pt>
                <c:pt idx="90">
                  <c:v>4.633270435757949</c:v>
                </c:pt>
                <c:pt idx="91">
                  <c:v>4.51232491462687</c:v>
                </c:pt>
                <c:pt idx="92">
                  <c:v>4.394419145164148</c:v>
                </c:pt>
                <c:pt idx="93">
                  <c:v>4.279464471454604</c:v>
                </c:pt>
                <c:pt idx="94">
                  <c:v>4.167375016251736</c:v>
                </c:pt>
                <c:pt idx="95">
                  <c:v>4.058067600201838</c:v>
                </c:pt>
                <c:pt idx="96">
                  <c:v>3.9514616621371426</c:v>
                </c:pt>
                <c:pt idx="97">
                  <c:v>3.8474791805930098</c:v>
                </c:pt>
                <c:pt idx="98">
                  <c:v>3.746044596678991</c:v>
                </c:pt>
                <c:pt idx="99">
                  <c:v>3.647084738411453</c:v>
                </c:pt>
                <c:pt idx="100">
                  <c:v>3.550528746595491</c:v>
                </c:pt>
              </c:numCache>
            </c:numRef>
          </c:yVal>
          <c:smooth val="1"/>
        </c:ser>
        <c:axId val="31214258"/>
        <c:axId val="12492867"/>
      </c:scatterChart>
      <c:valAx>
        <c:axId val="31214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x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492867"/>
        <c:crosses val="autoZero"/>
        <c:crossBetween val="midCat"/>
        <c:dispUnits/>
      </c:valAx>
      <c:valAx>
        <c:axId val="12492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2142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sélectivité </a:t>
            </a:r>
            <a:r>
              <a:rPr lang="en-US" cap="none" sz="1050" b="1" i="0" u="none" baseline="0">
                <a:solidFill>
                  <a:srgbClr val="0000FF"/>
                </a:solidFill>
              </a:rPr>
              <a:t>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Feuil2!$H$5</c:f>
              <c:strCache>
                <c:ptCount val="1"/>
                <c:pt idx="0">
                  <c:v>sélectivité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Feuil2!$A$7:$A$106</c:f>
              <c:numCache>
                <c:ptCount val="100"/>
                <c:pt idx="0">
                  <c:v>2.754079298801253</c:v>
                </c:pt>
                <c:pt idx="1">
                  <c:v>3.2791471673926544</c:v>
                </c:pt>
                <c:pt idx="2">
                  <c:v>3.804215035984056</c:v>
                </c:pt>
                <c:pt idx="3">
                  <c:v>4.329282904575457</c:v>
                </c:pt>
                <c:pt idx="4">
                  <c:v>4.854350773166859</c:v>
                </c:pt>
                <c:pt idx="5">
                  <c:v>5.37941864175826</c:v>
                </c:pt>
                <c:pt idx="6">
                  <c:v>5.9044865103496615</c:v>
                </c:pt>
                <c:pt idx="7">
                  <c:v>6.429554378941063</c:v>
                </c:pt>
                <c:pt idx="8">
                  <c:v>6.954622247532464</c:v>
                </c:pt>
                <c:pt idx="9">
                  <c:v>7.479690116123866</c:v>
                </c:pt>
                <c:pt idx="10">
                  <c:v>8.004757984715267</c:v>
                </c:pt>
                <c:pt idx="11">
                  <c:v>8.529825853306669</c:v>
                </c:pt>
                <c:pt idx="12">
                  <c:v>9.05489372189807</c:v>
                </c:pt>
                <c:pt idx="13">
                  <c:v>9.579961590489471</c:v>
                </c:pt>
                <c:pt idx="14">
                  <c:v>10.105029459080873</c:v>
                </c:pt>
                <c:pt idx="15">
                  <c:v>10.630097327672274</c:v>
                </c:pt>
                <c:pt idx="16">
                  <c:v>11.155165196263676</c:v>
                </c:pt>
                <c:pt idx="17">
                  <c:v>11.680233064855077</c:v>
                </c:pt>
                <c:pt idx="18">
                  <c:v>12.205300933446479</c:v>
                </c:pt>
                <c:pt idx="19">
                  <c:v>12.73036880203788</c:v>
                </c:pt>
                <c:pt idx="20">
                  <c:v>13.255436670629281</c:v>
                </c:pt>
                <c:pt idx="21">
                  <c:v>13.780504539220683</c:v>
                </c:pt>
                <c:pt idx="22">
                  <c:v>14.305572407812084</c:v>
                </c:pt>
                <c:pt idx="23">
                  <c:v>14.830640276403486</c:v>
                </c:pt>
                <c:pt idx="24">
                  <c:v>15.355708144994887</c:v>
                </c:pt>
                <c:pt idx="25">
                  <c:v>15.880776013586289</c:v>
                </c:pt>
                <c:pt idx="26">
                  <c:v>16.40584388217769</c:v>
                </c:pt>
                <c:pt idx="27">
                  <c:v>16.930911750769095</c:v>
                </c:pt>
                <c:pt idx="28">
                  <c:v>17.455979619360498</c:v>
                </c:pt>
                <c:pt idx="29">
                  <c:v>17.9810474879519</c:v>
                </c:pt>
                <c:pt idx="30">
                  <c:v>18.506115356543305</c:v>
                </c:pt>
                <c:pt idx="31">
                  <c:v>19.031183225134708</c:v>
                </c:pt>
                <c:pt idx="32">
                  <c:v>19.55625109372611</c:v>
                </c:pt>
                <c:pt idx="33">
                  <c:v>20.081318962317514</c:v>
                </c:pt>
                <c:pt idx="34">
                  <c:v>20.606386830908917</c:v>
                </c:pt>
                <c:pt idx="35">
                  <c:v>21.13145469950032</c:v>
                </c:pt>
                <c:pt idx="36">
                  <c:v>21.656522568091724</c:v>
                </c:pt>
                <c:pt idx="37">
                  <c:v>22.181590436683127</c:v>
                </c:pt>
                <c:pt idx="38">
                  <c:v>22.70665830527453</c:v>
                </c:pt>
                <c:pt idx="39">
                  <c:v>23.231726173865933</c:v>
                </c:pt>
                <c:pt idx="40">
                  <c:v>23.756794042457337</c:v>
                </c:pt>
                <c:pt idx="41">
                  <c:v>24.28186191104874</c:v>
                </c:pt>
                <c:pt idx="42">
                  <c:v>24.806929779640143</c:v>
                </c:pt>
                <c:pt idx="43">
                  <c:v>25.331997648231546</c:v>
                </c:pt>
                <c:pt idx="44">
                  <c:v>25.85706551682295</c:v>
                </c:pt>
                <c:pt idx="45">
                  <c:v>26.382133385414352</c:v>
                </c:pt>
                <c:pt idx="46">
                  <c:v>26.907201254005756</c:v>
                </c:pt>
                <c:pt idx="47">
                  <c:v>27.43226912259716</c:v>
                </c:pt>
                <c:pt idx="48">
                  <c:v>27.957336991188562</c:v>
                </c:pt>
                <c:pt idx="49">
                  <c:v>28.482404859779965</c:v>
                </c:pt>
                <c:pt idx="50">
                  <c:v>29.00747272837137</c:v>
                </c:pt>
                <c:pt idx="51">
                  <c:v>29.53254059696277</c:v>
                </c:pt>
                <c:pt idx="52">
                  <c:v>30.057608465554175</c:v>
                </c:pt>
                <c:pt idx="53">
                  <c:v>30.582676334145578</c:v>
                </c:pt>
                <c:pt idx="54">
                  <c:v>31.10774420273698</c:v>
                </c:pt>
                <c:pt idx="55">
                  <c:v>31.632812071328384</c:v>
                </c:pt>
                <c:pt idx="56">
                  <c:v>32.15787993991979</c:v>
                </c:pt>
                <c:pt idx="57">
                  <c:v>32.68294780851119</c:v>
                </c:pt>
                <c:pt idx="58">
                  <c:v>33.20801567710259</c:v>
                </c:pt>
                <c:pt idx="59">
                  <c:v>33.73308354569399</c:v>
                </c:pt>
                <c:pt idx="60">
                  <c:v>34.258151414285386</c:v>
                </c:pt>
                <c:pt idx="61">
                  <c:v>34.783219282876786</c:v>
                </c:pt>
                <c:pt idx="62">
                  <c:v>35.308287151468186</c:v>
                </c:pt>
                <c:pt idx="63">
                  <c:v>35.833355020059585</c:v>
                </c:pt>
                <c:pt idx="64">
                  <c:v>36.358422888650985</c:v>
                </c:pt>
                <c:pt idx="65">
                  <c:v>36.883490757242384</c:v>
                </c:pt>
                <c:pt idx="66">
                  <c:v>37.408558625833784</c:v>
                </c:pt>
                <c:pt idx="67">
                  <c:v>37.933626494425184</c:v>
                </c:pt>
                <c:pt idx="68">
                  <c:v>38.45869436301658</c:v>
                </c:pt>
                <c:pt idx="69">
                  <c:v>38.98376223160798</c:v>
                </c:pt>
                <c:pt idx="70">
                  <c:v>39.50883010019938</c:v>
                </c:pt>
                <c:pt idx="71">
                  <c:v>40.03389796879078</c:v>
                </c:pt>
                <c:pt idx="72">
                  <c:v>40.55896583738218</c:v>
                </c:pt>
                <c:pt idx="73">
                  <c:v>41.08403370597358</c:v>
                </c:pt>
                <c:pt idx="74">
                  <c:v>41.60910157456498</c:v>
                </c:pt>
                <c:pt idx="75">
                  <c:v>42.13416944315638</c:v>
                </c:pt>
                <c:pt idx="76">
                  <c:v>42.65923731174778</c:v>
                </c:pt>
                <c:pt idx="77">
                  <c:v>43.18430518033918</c:v>
                </c:pt>
                <c:pt idx="78">
                  <c:v>43.70937304893058</c:v>
                </c:pt>
                <c:pt idx="79">
                  <c:v>44.23444091752198</c:v>
                </c:pt>
                <c:pt idx="80">
                  <c:v>44.75950878611338</c:v>
                </c:pt>
                <c:pt idx="81">
                  <c:v>45.28457665470478</c:v>
                </c:pt>
                <c:pt idx="82">
                  <c:v>45.80964452329618</c:v>
                </c:pt>
                <c:pt idx="83">
                  <c:v>46.33471239188758</c:v>
                </c:pt>
                <c:pt idx="84">
                  <c:v>46.85978026047898</c:v>
                </c:pt>
                <c:pt idx="85">
                  <c:v>47.38484812907038</c:v>
                </c:pt>
                <c:pt idx="86">
                  <c:v>47.90991599766178</c:v>
                </c:pt>
                <c:pt idx="87">
                  <c:v>48.43498386625318</c:v>
                </c:pt>
                <c:pt idx="88">
                  <c:v>48.960051734844576</c:v>
                </c:pt>
                <c:pt idx="89">
                  <c:v>49.485119603435976</c:v>
                </c:pt>
                <c:pt idx="90">
                  <c:v>50.010187472027376</c:v>
                </c:pt>
                <c:pt idx="91">
                  <c:v>50.535255340618775</c:v>
                </c:pt>
                <c:pt idx="92">
                  <c:v>51.060323209210175</c:v>
                </c:pt>
                <c:pt idx="93">
                  <c:v>51.585391077801575</c:v>
                </c:pt>
                <c:pt idx="94">
                  <c:v>52.110458946392974</c:v>
                </c:pt>
                <c:pt idx="95">
                  <c:v>52.635526814984374</c:v>
                </c:pt>
                <c:pt idx="96">
                  <c:v>53.16059468357577</c:v>
                </c:pt>
                <c:pt idx="97">
                  <c:v>53.68566255216717</c:v>
                </c:pt>
                <c:pt idx="98">
                  <c:v>54.21073042075857</c:v>
                </c:pt>
                <c:pt idx="99">
                  <c:v>54.73579828934997</c:v>
                </c:pt>
              </c:numCache>
            </c:numRef>
          </c:xVal>
          <c:yVal>
            <c:numRef>
              <c:f>Feuil2!$H$7:$H$106</c:f>
              <c:numCache>
                <c:ptCount val="100"/>
                <c:pt idx="0">
                  <c:v>1.3158713422332968</c:v>
                </c:pt>
                <c:pt idx="1">
                  <c:v>1.1912866703284377</c:v>
                </c:pt>
                <c:pt idx="2">
                  <c:v>1.094583550082012</c:v>
                </c:pt>
                <c:pt idx="3">
                  <c:v>1.0168172355435992</c:v>
                </c:pt>
                <c:pt idx="4">
                  <c:v>1.0497714524914081</c:v>
                </c:pt>
                <c:pt idx="5">
                  <c:v>1.113061461036712</c:v>
                </c:pt>
                <c:pt idx="6">
                  <c:v>1.1737451663665497</c:v>
                </c:pt>
                <c:pt idx="7">
                  <c:v>1.2321486287697503</c:v>
                </c:pt>
                <c:pt idx="8">
                  <c:v>1.2885341137984077</c:v>
                </c:pt>
                <c:pt idx="9">
                  <c:v>1.3431164093664005</c:v>
                </c:pt>
                <c:pt idx="10">
                  <c:v>1.3960741234934382</c:v>
                </c:pt>
                <c:pt idx="11">
                  <c:v>1.4475577333351604</c:v>
                </c:pt>
                <c:pt idx="12">
                  <c:v>1.4976954612796805</c:v>
                </c:pt>
                <c:pt idx="13">
                  <c:v>1.5465976561282684</c:v>
                </c:pt>
                <c:pt idx="14">
                  <c:v>1.5943601203783313</c:v>
                </c:pt>
                <c:pt idx="15">
                  <c:v>1.6410666784493486</c:v>
                </c:pt>
                <c:pt idx="16">
                  <c:v>1.6867911877734367</c:v>
                </c:pt>
                <c:pt idx="17">
                  <c:v>1.7315991340188817</c:v>
                </c:pt>
                <c:pt idx="18">
                  <c:v>1.7755489111798473</c:v>
                </c:pt>
                <c:pt idx="19">
                  <c:v>1.818692859599141</c:v>
                </c:pt>
                <c:pt idx="20">
                  <c:v>1.8610781157470344</c:v>
                </c:pt>
                <c:pt idx="21">
                  <c:v>1.9027473139624749</c:v>
                </c:pt>
                <c:pt idx="22">
                  <c:v>1.9437391705770672</c:v>
                </c:pt>
                <c:pt idx="23">
                  <c:v>1.9840889737085177</c:v>
                </c:pt>
                <c:pt idx="24">
                  <c:v>2.0238289967419405</c:v>
                </c:pt>
                <c:pt idx="25">
                  <c:v>2.0629888495797064</c:v>
                </c:pt>
                <c:pt idx="26">
                  <c:v>2.101595778764673</c:v>
                </c:pt>
                <c:pt idx="27">
                  <c:v>2.1396749253094267</c:v>
                </c:pt>
                <c:pt idx="28">
                  <c:v>2.1772495473127798</c:v>
                </c:pt>
                <c:pt idx="29">
                  <c:v>2.214341213082604</c:v>
                </c:pt>
                <c:pt idx="30">
                  <c:v>2.2509699694159946</c:v>
                </c:pt>
                <c:pt idx="31">
                  <c:v>2.287154488843689</c:v>
                </c:pt>
                <c:pt idx="32">
                  <c:v>2.3229121989737456</c:v>
                </c:pt>
                <c:pt idx="33">
                  <c:v>2.358259396530902</c:v>
                </c:pt>
                <c:pt idx="34">
                  <c:v>2.3932113482537285</c:v>
                </c:pt>
                <c:pt idx="35">
                  <c:v>2.4277823804590706</c:v>
                </c:pt>
                <c:pt idx="36">
                  <c:v>2.4619859587955304</c:v>
                </c:pt>
                <c:pt idx="37">
                  <c:v>2.4958347594716006</c:v>
                </c:pt>
                <c:pt idx="38">
                  <c:v>2.5293407330492603</c:v>
                </c:pt>
                <c:pt idx="39">
                  <c:v>2.5625151617323563</c:v>
                </c:pt>
                <c:pt idx="40">
                  <c:v>2.5953687109446157</c:v>
                </c:pt>
                <c:pt idx="41">
                  <c:v>2.6279114758796895</c:v>
                </c:pt>
                <c:pt idx="42">
                  <c:v>2.660153023611064</c:v>
                </c:pt>
                <c:pt idx="43">
                  <c:v>2.6921024312700967</c:v>
                </c:pt>
                <c:pt idx="44">
                  <c:v>2.723768320732878</c:v>
                </c:pt>
                <c:pt idx="45">
                  <c:v>2.7551588901993496</c:v>
                </c:pt>
                <c:pt idx="46">
                  <c:v>2.786281942999224</c:v>
                </c:pt>
                <c:pt idx="47">
                  <c:v>2.817144913917414</c:v>
                </c:pt>
                <c:pt idx="48">
                  <c:v>2.8477548932958263</c:v>
                </c:pt>
                <c:pt idx="49">
                  <c:v>2.8781186491374133</c:v>
                </c:pt>
                <c:pt idx="50">
                  <c:v>2.908242647411759</c:v>
                </c:pt>
                <c:pt idx="51">
                  <c:v>2.9381330707383277</c:v>
                </c:pt>
                <c:pt idx="52">
                  <c:v>2.9677958356034235</c:v>
                </c:pt>
                <c:pt idx="53">
                  <c:v>2.997236608249488</c:v>
                </c:pt>
                <c:pt idx="54">
                  <c:v>3.0264608193600875</c:v>
                </c:pt>
                <c:pt idx="55">
                  <c:v>3.0554736776505647</c:v>
                </c:pt>
                <c:pt idx="56">
                  <c:v>3.0842801824627073</c:v>
                </c:pt>
                <c:pt idx="57">
                  <c:v>3.1128851354514064</c:v>
                </c:pt>
                <c:pt idx="58">
                  <c:v>3.1412931514422864</c:v>
                </c:pt>
                <c:pt idx="59">
                  <c:v>3.1695086685312672</c:v>
                </c:pt>
                <c:pt idx="60">
                  <c:v>3.197535957489882</c:v>
                </c:pt>
                <c:pt idx="61">
                  <c:v>3.225379130534016</c:v>
                </c:pt>
                <c:pt idx="62">
                  <c:v>3.253042149508043</c:v>
                </c:pt>
                <c:pt idx="63">
                  <c:v>3.2805288335314247</c:v>
                </c:pt>
                <c:pt idx="64">
                  <c:v>3.3078428661504424</c:v>
                </c:pt>
                <c:pt idx="65">
                  <c:v>3.3349878020337425</c:v>
                </c:pt>
                <c:pt idx="66">
                  <c:v>3.3619670732468347</c:v>
                </c:pt>
                <c:pt idx="67">
                  <c:v>3.3887839951375844</c:v>
                </c:pt>
                <c:pt idx="68">
                  <c:v>3.4154417718618135</c:v>
                </c:pt>
                <c:pt idx="69">
                  <c:v>3.4419435015756625</c:v>
                </c:pt>
                <c:pt idx="70">
                  <c:v>3.4682921813189567</c:v>
                </c:pt>
                <c:pt idx="71">
                  <c:v>3.494490711611883</c:v>
                </c:pt>
                <c:pt idx="72">
                  <c:v>3.5205419007852914</c:v>
                </c:pt>
                <c:pt idx="73">
                  <c:v>3.546448469063317</c:v>
                </c:pt>
                <c:pt idx="74">
                  <c:v>3.572213052415462</c:v>
                </c:pt>
                <c:pt idx="75">
                  <c:v>3.5978382061938956</c:v>
                </c:pt>
                <c:pt idx="76">
                  <c:v>3.623326408570469</c:v>
                </c:pt>
                <c:pt idx="77">
                  <c:v>3.648680063786796</c:v>
                </c:pt>
                <c:pt idx="78">
                  <c:v>3.6739015052297064</c:v>
                </c:pt>
                <c:pt idx="79">
                  <c:v>3.6989929983434453</c:v>
                </c:pt>
                <c:pt idx="80">
                  <c:v>3.723956743389115</c:v>
                </c:pt>
                <c:pt idx="81">
                  <c:v>3.7487948780610414</c:v>
                </c:pt>
                <c:pt idx="82">
                  <c:v>3.7735094799690936</c:v>
                </c:pt>
                <c:pt idx="83">
                  <c:v>3.79810256899525</c:v>
                </c:pt>
                <c:pt idx="84">
                  <c:v>3.822576109532129</c:v>
                </c:pt>
                <c:pt idx="85">
                  <c:v>3.8469320126106816</c:v>
                </c:pt>
                <c:pt idx="86">
                  <c:v>3.8711721379236503</c:v>
                </c:pt>
                <c:pt idx="87">
                  <c:v>3.895298295751032</c:v>
                </c:pt>
                <c:pt idx="88">
                  <c:v>3.9193122487932714</c:v>
                </c:pt>
                <c:pt idx="89">
                  <c:v>3.9432157139175485</c:v>
                </c:pt>
                <c:pt idx="90">
                  <c:v>3.967010363822181</c:v>
                </c:pt>
                <c:pt idx="91">
                  <c:v>3.9906978286237504</c:v>
                </c:pt>
                <c:pt idx="92">
                  <c:v>4.014279697371362</c:v>
                </c:pt>
                <c:pt idx="93">
                  <c:v>4.037757519492054</c:v>
                </c:pt>
                <c:pt idx="94">
                  <c:v>4.0611328061711705</c:v>
                </c:pt>
                <c:pt idx="95">
                  <c:v>4.084407031671252</c:v>
                </c:pt>
                <c:pt idx="96">
                  <c:v>4.107581634592759</c:v>
                </c:pt>
                <c:pt idx="97">
                  <c:v>4.130658019079745</c:v>
                </c:pt>
                <c:pt idx="98">
                  <c:v>4.153637555973405</c:v>
                </c:pt>
                <c:pt idx="99">
                  <c:v>4.176521583916205</c:v>
                </c:pt>
              </c:numCache>
            </c:numRef>
          </c:yVal>
          <c:smooth val="1"/>
        </c:ser>
        <c:axId val="45326940"/>
        <c:axId val="5289277"/>
      </c:scatterChart>
      <c:valAx>
        <c:axId val="45326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9277"/>
        <c:crosses val="autoZero"/>
        <c:crossBetween val="midCat"/>
        <c:dispUnits/>
      </c:valAx>
      <c:valAx>
        <c:axId val="5289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269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Résolution et R = 1,5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225"/>
          <c:w val="0.9255"/>
          <c:h val="0.82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Feuil2!$N$5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Feuil2!$M$6:$M$106</c:f>
              <c:numCache>
                <c:ptCount val="101"/>
                <c:pt idx="0">
                  <c:v>2.095139552893333</c:v>
                </c:pt>
                <c:pt idx="1">
                  <c:v>2.4898293021489235</c:v>
                </c:pt>
                <c:pt idx="2">
                  <c:v>2.884519051404514</c:v>
                </c:pt>
                <c:pt idx="3">
                  <c:v>3.2792088006601046</c:v>
                </c:pt>
                <c:pt idx="4">
                  <c:v>3.673898549915695</c:v>
                </c:pt>
                <c:pt idx="5">
                  <c:v>4.068588299171285</c:v>
                </c:pt>
                <c:pt idx="6">
                  <c:v>4.463278048426876</c:v>
                </c:pt>
                <c:pt idx="7">
                  <c:v>4.857967797682466</c:v>
                </c:pt>
                <c:pt idx="8">
                  <c:v>5.252657546938057</c:v>
                </c:pt>
                <c:pt idx="9">
                  <c:v>5.647347296193647</c:v>
                </c:pt>
                <c:pt idx="10">
                  <c:v>6.042037045449238</c:v>
                </c:pt>
                <c:pt idx="11">
                  <c:v>6.436726794704828</c:v>
                </c:pt>
                <c:pt idx="12">
                  <c:v>6.831416543960419</c:v>
                </c:pt>
                <c:pt idx="13">
                  <c:v>7.226106293216009</c:v>
                </c:pt>
                <c:pt idx="14">
                  <c:v>7.6207960424716</c:v>
                </c:pt>
                <c:pt idx="15">
                  <c:v>8.01548579172719</c:v>
                </c:pt>
                <c:pt idx="16">
                  <c:v>8.410175540982781</c:v>
                </c:pt>
                <c:pt idx="17">
                  <c:v>8.804865290238372</c:v>
                </c:pt>
                <c:pt idx="18">
                  <c:v>9.199555039493962</c:v>
                </c:pt>
                <c:pt idx="19">
                  <c:v>9.594244788749553</c:v>
                </c:pt>
                <c:pt idx="20">
                  <c:v>9.988934538005143</c:v>
                </c:pt>
                <c:pt idx="21">
                  <c:v>10.383624287260734</c:v>
                </c:pt>
                <c:pt idx="22">
                  <c:v>10.778314036516324</c:v>
                </c:pt>
                <c:pt idx="23">
                  <c:v>11.173003785771915</c:v>
                </c:pt>
                <c:pt idx="24">
                  <c:v>11.567693535027505</c:v>
                </c:pt>
                <c:pt idx="25">
                  <c:v>11.962383284283096</c:v>
                </c:pt>
                <c:pt idx="26">
                  <c:v>12.357073033538686</c:v>
                </c:pt>
                <c:pt idx="27">
                  <c:v>12.751762782794277</c:v>
                </c:pt>
                <c:pt idx="28">
                  <c:v>13.146452532049867</c:v>
                </c:pt>
                <c:pt idx="29">
                  <c:v>13.541142281305458</c:v>
                </c:pt>
                <c:pt idx="30">
                  <c:v>13.935832030561048</c:v>
                </c:pt>
                <c:pt idx="31">
                  <c:v>14.330521779816639</c:v>
                </c:pt>
                <c:pt idx="32">
                  <c:v>14.72521152907223</c:v>
                </c:pt>
                <c:pt idx="33">
                  <c:v>15.11990127832782</c:v>
                </c:pt>
                <c:pt idx="34">
                  <c:v>15.51459102758341</c:v>
                </c:pt>
                <c:pt idx="35">
                  <c:v>15.909280776839001</c:v>
                </c:pt>
                <c:pt idx="36">
                  <c:v>16.30397052609459</c:v>
                </c:pt>
                <c:pt idx="37">
                  <c:v>16.698660275350182</c:v>
                </c:pt>
                <c:pt idx="38">
                  <c:v>17.093350024605773</c:v>
                </c:pt>
                <c:pt idx="39">
                  <c:v>17.488039773861363</c:v>
                </c:pt>
                <c:pt idx="40">
                  <c:v>17.882729523116954</c:v>
                </c:pt>
                <c:pt idx="41">
                  <c:v>18.277419272372544</c:v>
                </c:pt>
                <c:pt idx="42">
                  <c:v>18.672109021628135</c:v>
                </c:pt>
                <c:pt idx="43">
                  <c:v>19.066798770883725</c:v>
                </c:pt>
                <c:pt idx="44">
                  <c:v>19.461488520139316</c:v>
                </c:pt>
                <c:pt idx="45">
                  <c:v>19.856178269394906</c:v>
                </c:pt>
                <c:pt idx="46">
                  <c:v>20.250868018650497</c:v>
                </c:pt>
                <c:pt idx="47">
                  <c:v>20.645557767906087</c:v>
                </c:pt>
                <c:pt idx="48">
                  <c:v>21.040247517161678</c:v>
                </c:pt>
                <c:pt idx="49">
                  <c:v>21.43493726641727</c:v>
                </c:pt>
                <c:pt idx="50">
                  <c:v>21.82962701567286</c:v>
                </c:pt>
                <c:pt idx="51">
                  <c:v>22.22431676492845</c:v>
                </c:pt>
                <c:pt idx="52">
                  <c:v>22.61900651418404</c:v>
                </c:pt>
                <c:pt idx="53">
                  <c:v>23.01369626343963</c:v>
                </c:pt>
                <c:pt idx="54">
                  <c:v>23.40838601269522</c:v>
                </c:pt>
                <c:pt idx="55">
                  <c:v>23.80307576195081</c:v>
                </c:pt>
                <c:pt idx="56">
                  <c:v>24.197765511206402</c:v>
                </c:pt>
                <c:pt idx="57">
                  <c:v>24.592455260461993</c:v>
                </c:pt>
                <c:pt idx="58">
                  <c:v>24.987145009717583</c:v>
                </c:pt>
                <c:pt idx="59">
                  <c:v>25.381834758973174</c:v>
                </c:pt>
                <c:pt idx="60">
                  <c:v>25.776524508228764</c:v>
                </c:pt>
                <c:pt idx="61">
                  <c:v>26.171214257484355</c:v>
                </c:pt>
                <c:pt idx="62">
                  <c:v>26.565904006739945</c:v>
                </c:pt>
                <c:pt idx="63">
                  <c:v>26.960593755995536</c:v>
                </c:pt>
                <c:pt idx="64">
                  <c:v>27.355283505251126</c:v>
                </c:pt>
                <c:pt idx="65">
                  <c:v>27.749973254506717</c:v>
                </c:pt>
                <c:pt idx="66">
                  <c:v>28.144663003762307</c:v>
                </c:pt>
                <c:pt idx="67">
                  <c:v>28.539352753017898</c:v>
                </c:pt>
                <c:pt idx="68">
                  <c:v>28.93404250227349</c:v>
                </c:pt>
                <c:pt idx="69">
                  <c:v>29.32873225152908</c:v>
                </c:pt>
                <c:pt idx="70">
                  <c:v>29.72342200078467</c:v>
                </c:pt>
                <c:pt idx="71">
                  <c:v>30.11811175004026</c:v>
                </c:pt>
                <c:pt idx="72">
                  <c:v>30.51280149929585</c:v>
                </c:pt>
                <c:pt idx="73">
                  <c:v>30.90749124855144</c:v>
                </c:pt>
                <c:pt idx="74">
                  <c:v>31.30218099780703</c:v>
                </c:pt>
                <c:pt idx="75">
                  <c:v>31.696870747062622</c:v>
                </c:pt>
                <c:pt idx="76">
                  <c:v>32.09156049631821</c:v>
                </c:pt>
                <c:pt idx="77">
                  <c:v>32.4862502455738</c:v>
                </c:pt>
                <c:pt idx="78">
                  <c:v>32.88093999482939</c:v>
                </c:pt>
                <c:pt idx="79">
                  <c:v>33.27562974408498</c:v>
                </c:pt>
                <c:pt idx="80">
                  <c:v>33.67031949334057</c:v>
                </c:pt>
                <c:pt idx="81">
                  <c:v>34.06500924259616</c:v>
                </c:pt>
                <c:pt idx="82">
                  <c:v>34.45969899185175</c:v>
                </c:pt>
                <c:pt idx="83">
                  <c:v>34.85438874110734</c:v>
                </c:pt>
                <c:pt idx="84">
                  <c:v>35.24907849036293</c:v>
                </c:pt>
                <c:pt idx="85">
                  <c:v>35.643768239618524</c:v>
                </c:pt>
                <c:pt idx="86">
                  <c:v>36.038457988874114</c:v>
                </c:pt>
                <c:pt idx="87">
                  <c:v>36.433147738129705</c:v>
                </c:pt>
                <c:pt idx="88">
                  <c:v>36.827837487385295</c:v>
                </c:pt>
                <c:pt idx="89">
                  <c:v>37.222527236640886</c:v>
                </c:pt>
                <c:pt idx="90">
                  <c:v>37.617216985896476</c:v>
                </c:pt>
                <c:pt idx="91">
                  <c:v>38.01190673515207</c:v>
                </c:pt>
                <c:pt idx="92">
                  <c:v>38.40659648440766</c:v>
                </c:pt>
                <c:pt idx="93">
                  <c:v>38.80128623366325</c:v>
                </c:pt>
                <c:pt idx="94">
                  <c:v>39.19597598291884</c:v>
                </c:pt>
                <c:pt idx="95">
                  <c:v>39.59066573217443</c:v>
                </c:pt>
                <c:pt idx="96">
                  <c:v>39.98535548143002</c:v>
                </c:pt>
                <c:pt idx="97">
                  <c:v>40.38004523068561</c:v>
                </c:pt>
                <c:pt idx="98">
                  <c:v>40.7747349799412</c:v>
                </c:pt>
                <c:pt idx="99">
                  <c:v>41.16942472919679</c:v>
                </c:pt>
                <c:pt idx="100">
                  <c:v>41.56411447845238</c:v>
                </c:pt>
              </c:numCache>
            </c:numRef>
          </c:xVal>
          <c:yVal>
            <c:numRef>
              <c:f>Feuil2!$N$6:$N$106</c:f>
              <c:numCache>
                <c:ptCount val="101"/>
                <c:pt idx="0">
                  <c:v>9.422455088380143</c:v>
                </c:pt>
                <c:pt idx="1">
                  <c:v>7.05282172773259</c:v>
                </c:pt>
                <c:pt idx="2">
                  <c:v>5.033356465517573</c:v>
                </c:pt>
                <c:pt idx="3">
                  <c:v>3.2833941350844054</c:v>
                </c:pt>
                <c:pt idx="4">
                  <c:v>1.74802460808159</c:v>
                </c:pt>
                <c:pt idx="5">
                  <c:v>0.38803229931336275</c:v>
                </c:pt>
                <c:pt idx="6">
                  <c:v>0.825662118691278</c:v>
                </c:pt>
                <c:pt idx="7">
                  <c:v>1.915284639024158</c:v>
                </c:pt>
                <c:pt idx="8">
                  <c:v>2.8982521784385846</c:v>
                </c:pt>
                <c:pt idx="9">
                  <c:v>3.7885014397061716</c:v>
                </c:pt>
                <c:pt idx="10">
                  <c:v>4.597384145624423</c:v>
                </c:pt>
                <c:pt idx="11">
                  <c:v>5.334288637067002</c:v>
                </c:pt>
                <c:pt idx="12">
                  <c:v>6.007082804836621</c:v>
                </c:pt>
                <c:pt idx="13">
                  <c:v>6.622436895730247</c:v>
                </c:pt>
                <c:pt idx="14">
                  <c:v>7.186063469374365</c:v>
                </c:pt>
                <c:pt idx="15">
                  <c:v>7.702898923367596</c:v>
                </c:pt>
                <c:pt idx="16">
                  <c:v>8.177242983876177</c:v>
                </c:pt>
                <c:pt idx="17">
                  <c:v>8.612867418296474</c:v>
                </c:pt>
                <c:pt idx="18">
                  <c:v>9.01310185123193</c:v>
                </c:pt>
                <c:pt idx="19">
                  <c:v>9.380902300260177</c:v>
                </c:pt>
                <c:pt idx="20">
                  <c:v>9.718906498520106</c:v>
                </c:pt>
                <c:pt idx="21">
                  <c:v>10.029478992267588</c:v>
                </c:pt>
                <c:pt idx="22">
                  <c:v>10.314748238204928</c:v>
                </c:pt>
                <c:pt idx="23">
                  <c:v>10.57663737734333</c:v>
                </c:pt>
                <c:pt idx="24">
                  <c:v>10.816889963377154</c:v>
                </c:pt>
                <c:pt idx="25">
                  <c:v>11.037091629774487</c:v>
                </c:pt>
                <c:pt idx="26">
                  <c:v>11.238688460888376</c:v>
                </c:pt>
                <c:pt idx="27">
                  <c:v>11.423002667550278</c:v>
                </c:pt>
                <c:pt idx="28">
                  <c:v>11.591246042245034</c:v>
                </c:pt>
                <c:pt idx="29">
                  <c:v>11.744531572751702</c:v>
                </c:pt>
                <c:pt idx="30">
                  <c:v>11.883883518651702</c:v>
                </c:pt>
                <c:pt idx="31">
                  <c:v>12.010246196982653</c:v>
                </c:pt>
                <c:pt idx="32">
                  <c:v>12.124491677611903</c:v>
                </c:pt>
                <c:pt idx="33">
                  <c:v>12.227426552710261</c:v>
                </c:pt>
                <c:pt idx="34">
                  <c:v>12.31979791584719</c:v>
                </c:pt>
                <c:pt idx="35">
                  <c:v>12.402298663073255</c:v>
                </c:pt>
                <c:pt idx="36">
                  <c:v>12.475572209659667</c:v>
                </c:pt>
                <c:pt idx="37">
                  <c:v>12.540216700985578</c:v>
                </c:pt>
                <c:pt idx="38">
                  <c:v>12.596788783668892</c:v>
                </c:pt>
                <c:pt idx="39">
                  <c:v>12.645806992862699</c:v>
                </c:pt>
                <c:pt idx="40">
                  <c:v>12.687754803247213</c:v>
                </c:pt>
                <c:pt idx="41">
                  <c:v>12.72308338428953</c:v>
                </c:pt>
                <c:pt idx="42">
                  <c:v>12.752214094549421</c:v>
                </c:pt>
                <c:pt idx="43">
                  <c:v>12.775540744962495</c:v>
                </c:pt>
                <c:pt idx="44">
                  <c:v>12.793431656959578</c:v>
                </c:pt>
                <c:pt idx="45">
                  <c:v>12.806231537845578</c:v>
                </c:pt>
                <c:pt idx="46">
                  <c:v>12.814263192951044</c:v>
                </c:pt>
                <c:pt idx="47">
                  <c:v>12.817829091595282</c:v>
                </c:pt>
                <c:pt idx="48">
                  <c:v>12.817212801787731</c:v>
                </c:pt>
                <c:pt idx="49">
                  <c:v>12.812680306785433</c:v>
                </c:pt>
                <c:pt idx="50">
                  <c:v>12.8044812150694</c:v>
                </c:pt>
                <c:pt idx="51">
                  <c:v>12.792849873961499</c:v>
                </c:pt>
                <c:pt idx="52">
                  <c:v>12.778006395942956</c:v>
                </c:pt>
                <c:pt idx="53">
                  <c:v>12.76015760572839</c:v>
                </c:pt>
                <c:pt idx="54">
                  <c:v>12.739497915271778</c:v>
                </c:pt>
                <c:pt idx="55">
                  <c:v>12.716210133115444</c:v>
                </c:pt>
                <c:pt idx="56">
                  <c:v>12.690466213821681</c:v>
                </c:pt>
                <c:pt idx="57">
                  <c:v>12.662427952637977</c:v>
                </c:pt>
                <c:pt idx="58">
                  <c:v>12.632247630027974</c:v>
                </c:pt>
                <c:pt idx="59">
                  <c:v>12.6000686102422</c:v>
                </c:pt>
                <c:pt idx="60">
                  <c:v>12.56602589769753</c:v>
                </c:pt>
                <c:pt idx="61">
                  <c:v>12.530246654574693</c:v>
                </c:pt>
                <c:pt idx="62">
                  <c:v>12.492850682723398</c:v>
                </c:pt>
                <c:pt idx="63">
                  <c:v>12.453950872679611</c:v>
                </c:pt>
                <c:pt idx="64">
                  <c:v>12.41365362234539</c:v>
                </c:pt>
                <c:pt idx="65">
                  <c:v>12.372059227653446</c:v>
                </c:pt>
                <c:pt idx="66">
                  <c:v>12.32926224733463</c:v>
                </c:pt>
                <c:pt idx="67">
                  <c:v>12.285351843723134</c:v>
                </c:pt>
                <c:pt idx="68">
                  <c:v>12.240412101368426</c:v>
                </c:pt>
                <c:pt idx="69">
                  <c:v>12.194522325074802</c:v>
                </c:pt>
                <c:pt idx="70">
                  <c:v>12.147757318854106</c:v>
                </c:pt>
                <c:pt idx="71">
                  <c:v>12.100187647155739</c:v>
                </c:pt>
                <c:pt idx="72">
                  <c:v>12.051879879627752</c:v>
                </c:pt>
                <c:pt idx="73">
                  <c:v>12.00289682056265</c:v>
                </c:pt>
                <c:pt idx="74">
                  <c:v>11.953297724090111</c:v>
                </c:pt>
                <c:pt idx="75">
                  <c:v>11.903138496096663</c:v>
                </c:pt>
                <c:pt idx="76">
                  <c:v>11.85247188377616</c:v>
                </c:pt>
                <c:pt idx="77">
                  <c:v>11.801347653646266</c:v>
                </c:pt>
                <c:pt idx="78">
                  <c:v>11.7498127588032</c:v>
                </c:pt>
                <c:pt idx="79">
                  <c:v>11.69791149612914</c:v>
                </c:pt>
                <c:pt idx="80">
                  <c:v>11.645685654114123</c:v>
                </c:pt>
                <c:pt idx="81">
                  <c:v>11.593174651905665</c:v>
                </c:pt>
                <c:pt idx="82">
                  <c:v>11.540415670155191</c:v>
                </c:pt>
                <c:pt idx="83">
                  <c:v>11.487443774188982</c:v>
                </c:pt>
                <c:pt idx="84">
                  <c:v>11.434292029994461</c:v>
                </c:pt>
                <c:pt idx="85">
                  <c:v>11.380991613477617</c:v>
                </c:pt>
                <c:pt idx="86">
                  <c:v>11.327571913415492</c:v>
                </c:pt>
                <c:pt idx="87">
                  <c:v>11.274060628498654</c:v>
                </c:pt>
                <c:pt idx="88">
                  <c:v>11.2204838588309</c:v>
                </c:pt>
                <c:pt idx="89">
                  <c:v>11.166866192228989</c:v>
                </c:pt>
                <c:pt idx="90">
                  <c:v>11.113230785641345</c:v>
                </c:pt>
                <c:pt idx="91">
                  <c:v>11.059599441983847</c:v>
                </c:pt>
                <c:pt idx="92">
                  <c:v>11.005992682670696</c:v>
                </c:pt>
                <c:pt idx="93">
                  <c:v>10.952429816099773</c:v>
                </c:pt>
                <c:pt idx="94">
                  <c:v>10.89892900233535</c:v>
                </c:pt>
                <c:pt idx="95">
                  <c:v>10.845507314214547</c:v>
                </c:pt>
                <c:pt idx="96">
                  <c:v>10.792180795089793</c:v>
                </c:pt>
                <c:pt idx="97">
                  <c:v>10.738964513405659</c:v>
                </c:pt>
                <c:pt idx="98">
                  <c:v>10.685872614295677</c:v>
                </c:pt>
                <c:pt idx="99">
                  <c:v>10.632918368373014</c:v>
                </c:pt>
                <c:pt idx="100">
                  <c:v>10.580114217877986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Feuil2!$O$5</c:f>
              <c:strCache>
                <c:ptCount val="1"/>
                <c:pt idx="0">
                  <c:v>R=1,5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Feuil2!$M$6:$M$106</c:f>
              <c:numCache>
                <c:ptCount val="101"/>
                <c:pt idx="0">
                  <c:v>2.095139552893333</c:v>
                </c:pt>
                <c:pt idx="1">
                  <c:v>2.4898293021489235</c:v>
                </c:pt>
                <c:pt idx="2">
                  <c:v>2.884519051404514</c:v>
                </c:pt>
                <c:pt idx="3">
                  <c:v>3.2792088006601046</c:v>
                </c:pt>
                <c:pt idx="4">
                  <c:v>3.673898549915695</c:v>
                </c:pt>
                <c:pt idx="5">
                  <c:v>4.068588299171285</c:v>
                </c:pt>
                <c:pt idx="6">
                  <c:v>4.463278048426876</c:v>
                </c:pt>
                <c:pt idx="7">
                  <c:v>4.857967797682466</c:v>
                </c:pt>
                <c:pt idx="8">
                  <c:v>5.252657546938057</c:v>
                </c:pt>
                <c:pt idx="9">
                  <c:v>5.647347296193647</c:v>
                </c:pt>
                <c:pt idx="10">
                  <c:v>6.042037045449238</c:v>
                </c:pt>
                <c:pt idx="11">
                  <c:v>6.436726794704828</c:v>
                </c:pt>
                <c:pt idx="12">
                  <c:v>6.831416543960419</c:v>
                </c:pt>
                <c:pt idx="13">
                  <c:v>7.226106293216009</c:v>
                </c:pt>
                <c:pt idx="14">
                  <c:v>7.6207960424716</c:v>
                </c:pt>
                <c:pt idx="15">
                  <c:v>8.01548579172719</c:v>
                </c:pt>
                <c:pt idx="16">
                  <c:v>8.410175540982781</c:v>
                </c:pt>
                <c:pt idx="17">
                  <c:v>8.804865290238372</c:v>
                </c:pt>
                <c:pt idx="18">
                  <c:v>9.199555039493962</c:v>
                </c:pt>
                <c:pt idx="19">
                  <c:v>9.594244788749553</c:v>
                </c:pt>
                <c:pt idx="20">
                  <c:v>9.988934538005143</c:v>
                </c:pt>
                <c:pt idx="21">
                  <c:v>10.383624287260734</c:v>
                </c:pt>
                <c:pt idx="22">
                  <c:v>10.778314036516324</c:v>
                </c:pt>
                <c:pt idx="23">
                  <c:v>11.173003785771915</c:v>
                </c:pt>
                <c:pt idx="24">
                  <c:v>11.567693535027505</c:v>
                </c:pt>
                <c:pt idx="25">
                  <c:v>11.962383284283096</c:v>
                </c:pt>
                <c:pt idx="26">
                  <c:v>12.357073033538686</c:v>
                </c:pt>
                <c:pt idx="27">
                  <c:v>12.751762782794277</c:v>
                </c:pt>
                <c:pt idx="28">
                  <c:v>13.146452532049867</c:v>
                </c:pt>
                <c:pt idx="29">
                  <c:v>13.541142281305458</c:v>
                </c:pt>
                <c:pt idx="30">
                  <c:v>13.935832030561048</c:v>
                </c:pt>
                <c:pt idx="31">
                  <c:v>14.330521779816639</c:v>
                </c:pt>
                <c:pt idx="32">
                  <c:v>14.72521152907223</c:v>
                </c:pt>
                <c:pt idx="33">
                  <c:v>15.11990127832782</c:v>
                </c:pt>
                <c:pt idx="34">
                  <c:v>15.51459102758341</c:v>
                </c:pt>
                <c:pt idx="35">
                  <c:v>15.909280776839001</c:v>
                </c:pt>
                <c:pt idx="36">
                  <c:v>16.30397052609459</c:v>
                </c:pt>
                <c:pt idx="37">
                  <c:v>16.698660275350182</c:v>
                </c:pt>
                <c:pt idx="38">
                  <c:v>17.093350024605773</c:v>
                </c:pt>
                <c:pt idx="39">
                  <c:v>17.488039773861363</c:v>
                </c:pt>
                <c:pt idx="40">
                  <c:v>17.882729523116954</c:v>
                </c:pt>
                <c:pt idx="41">
                  <c:v>18.277419272372544</c:v>
                </c:pt>
                <c:pt idx="42">
                  <c:v>18.672109021628135</c:v>
                </c:pt>
                <c:pt idx="43">
                  <c:v>19.066798770883725</c:v>
                </c:pt>
                <c:pt idx="44">
                  <c:v>19.461488520139316</c:v>
                </c:pt>
                <c:pt idx="45">
                  <c:v>19.856178269394906</c:v>
                </c:pt>
                <c:pt idx="46">
                  <c:v>20.250868018650497</c:v>
                </c:pt>
                <c:pt idx="47">
                  <c:v>20.645557767906087</c:v>
                </c:pt>
                <c:pt idx="48">
                  <c:v>21.040247517161678</c:v>
                </c:pt>
                <c:pt idx="49">
                  <c:v>21.43493726641727</c:v>
                </c:pt>
                <c:pt idx="50">
                  <c:v>21.82962701567286</c:v>
                </c:pt>
                <c:pt idx="51">
                  <c:v>22.22431676492845</c:v>
                </c:pt>
                <c:pt idx="52">
                  <c:v>22.61900651418404</c:v>
                </c:pt>
                <c:pt idx="53">
                  <c:v>23.01369626343963</c:v>
                </c:pt>
                <c:pt idx="54">
                  <c:v>23.40838601269522</c:v>
                </c:pt>
                <c:pt idx="55">
                  <c:v>23.80307576195081</c:v>
                </c:pt>
                <c:pt idx="56">
                  <c:v>24.197765511206402</c:v>
                </c:pt>
                <c:pt idx="57">
                  <c:v>24.592455260461993</c:v>
                </c:pt>
                <c:pt idx="58">
                  <c:v>24.987145009717583</c:v>
                </c:pt>
                <c:pt idx="59">
                  <c:v>25.381834758973174</c:v>
                </c:pt>
                <c:pt idx="60">
                  <c:v>25.776524508228764</c:v>
                </c:pt>
                <c:pt idx="61">
                  <c:v>26.171214257484355</c:v>
                </c:pt>
                <c:pt idx="62">
                  <c:v>26.565904006739945</c:v>
                </c:pt>
                <c:pt idx="63">
                  <c:v>26.960593755995536</c:v>
                </c:pt>
                <c:pt idx="64">
                  <c:v>27.355283505251126</c:v>
                </c:pt>
                <c:pt idx="65">
                  <c:v>27.749973254506717</c:v>
                </c:pt>
                <c:pt idx="66">
                  <c:v>28.144663003762307</c:v>
                </c:pt>
                <c:pt idx="67">
                  <c:v>28.539352753017898</c:v>
                </c:pt>
                <c:pt idx="68">
                  <c:v>28.93404250227349</c:v>
                </c:pt>
                <c:pt idx="69">
                  <c:v>29.32873225152908</c:v>
                </c:pt>
                <c:pt idx="70">
                  <c:v>29.72342200078467</c:v>
                </c:pt>
                <c:pt idx="71">
                  <c:v>30.11811175004026</c:v>
                </c:pt>
                <c:pt idx="72">
                  <c:v>30.51280149929585</c:v>
                </c:pt>
                <c:pt idx="73">
                  <c:v>30.90749124855144</c:v>
                </c:pt>
                <c:pt idx="74">
                  <c:v>31.30218099780703</c:v>
                </c:pt>
                <c:pt idx="75">
                  <c:v>31.696870747062622</c:v>
                </c:pt>
                <c:pt idx="76">
                  <c:v>32.09156049631821</c:v>
                </c:pt>
                <c:pt idx="77">
                  <c:v>32.4862502455738</c:v>
                </c:pt>
                <c:pt idx="78">
                  <c:v>32.88093999482939</c:v>
                </c:pt>
                <c:pt idx="79">
                  <c:v>33.27562974408498</c:v>
                </c:pt>
                <c:pt idx="80">
                  <c:v>33.67031949334057</c:v>
                </c:pt>
                <c:pt idx="81">
                  <c:v>34.06500924259616</c:v>
                </c:pt>
                <c:pt idx="82">
                  <c:v>34.45969899185175</c:v>
                </c:pt>
                <c:pt idx="83">
                  <c:v>34.85438874110734</c:v>
                </c:pt>
                <c:pt idx="84">
                  <c:v>35.24907849036293</c:v>
                </c:pt>
                <c:pt idx="85">
                  <c:v>35.643768239618524</c:v>
                </c:pt>
                <c:pt idx="86">
                  <c:v>36.038457988874114</c:v>
                </c:pt>
                <c:pt idx="87">
                  <c:v>36.433147738129705</c:v>
                </c:pt>
                <c:pt idx="88">
                  <c:v>36.827837487385295</c:v>
                </c:pt>
                <c:pt idx="89">
                  <c:v>37.222527236640886</c:v>
                </c:pt>
                <c:pt idx="90">
                  <c:v>37.617216985896476</c:v>
                </c:pt>
                <c:pt idx="91">
                  <c:v>38.01190673515207</c:v>
                </c:pt>
                <c:pt idx="92">
                  <c:v>38.40659648440766</c:v>
                </c:pt>
                <c:pt idx="93">
                  <c:v>38.80128623366325</c:v>
                </c:pt>
                <c:pt idx="94">
                  <c:v>39.19597598291884</c:v>
                </c:pt>
                <c:pt idx="95">
                  <c:v>39.59066573217443</c:v>
                </c:pt>
                <c:pt idx="96">
                  <c:v>39.98535548143002</c:v>
                </c:pt>
                <c:pt idx="97">
                  <c:v>40.38004523068561</c:v>
                </c:pt>
                <c:pt idx="98">
                  <c:v>40.7747349799412</c:v>
                </c:pt>
                <c:pt idx="99">
                  <c:v>41.16942472919679</c:v>
                </c:pt>
                <c:pt idx="100">
                  <c:v>41.56411447845238</c:v>
                </c:pt>
              </c:numCache>
            </c:numRef>
          </c:xVal>
          <c:yVal>
            <c:numRef>
              <c:f>Feuil2!$O$6:$O$106</c:f>
              <c:numCache>
                <c:ptCount val="101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1.5</c:v>
                </c:pt>
                <c:pt idx="24">
                  <c:v>1.5</c:v>
                </c:pt>
                <c:pt idx="25">
                  <c:v>1.5</c:v>
                </c:pt>
                <c:pt idx="26">
                  <c:v>1.5</c:v>
                </c:pt>
                <c:pt idx="27">
                  <c:v>1.5</c:v>
                </c:pt>
                <c:pt idx="28">
                  <c:v>1.5</c:v>
                </c:pt>
                <c:pt idx="29">
                  <c:v>1.5</c:v>
                </c:pt>
                <c:pt idx="30">
                  <c:v>1.5</c:v>
                </c:pt>
                <c:pt idx="31">
                  <c:v>1.5</c:v>
                </c:pt>
                <c:pt idx="32">
                  <c:v>1.5</c:v>
                </c:pt>
                <c:pt idx="33">
                  <c:v>1.5</c:v>
                </c:pt>
                <c:pt idx="34">
                  <c:v>1.5</c:v>
                </c:pt>
                <c:pt idx="35">
                  <c:v>1.5</c:v>
                </c:pt>
                <c:pt idx="36">
                  <c:v>1.5</c:v>
                </c:pt>
                <c:pt idx="37">
                  <c:v>1.5</c:v>
                </c:pt>
                <c:pt idx="38">
                  <c:v>1.5</c:v>
                </c:pt>
                <c:pt idx="39">
                  <c:v>1.5</c:v>
                </c:pt>
                <c:pt idx="40">
                  <c:v>1.5</c:v>
                </c:pt>
                <c:pt idx="41">
                  <c:v>1.5</c:v>
                </c:pt>
                <c:pt idx="42">
                  <c:v>1.5</c:v>
                </c:pt>
                <c:pt idx="43">
                  <c:v>1.5</c:v>
                </c:pt>
                <c:pt idx="44">
                  <c:v>1.5</c:v>
                </c:pt>
                <c:pt idx="45">
                  <c:v>1.5</c:v>
                </c:pt>
                <c:pt idx="46">
                  <c:v>1.5</c:v>
                </c:pt>
                <c:pt idx="47">
                  <c:v>1.5</c:v>
                </c:pt>
                <c:pt idx="48">
                  <c:v>1.5</c:v>
                </c:pt>
                <c:pt idx="49">
                  <c:v>1.5</c:v>
                </c:pt>
                <c:pt idx="50">
                  <c:v>1.5</c:v>
                </c:pt>
                <c:pt idx="51">
                  <c:v>1.5</c:v>
                </c:pt>
                <c:pt idx="52">
                  <c:v>1.5</c:v>
                </c:pt>
                <c:pt idx="53">
                  <c:v>1.5</c:v>
                </c:pt>
                <c:pt idx="54">
                  <c:v>1.5</c:v>
                </c:pt>
                <c:pt idx="55">
                  <c:v>1.5</c:v>
                </c:pt>
                <c:pt idx="56">
                  <c:v>1.5</c:v>
                </c:pt>
                <c:pt idx="57">
                  <c:v>1.5</c:v>
                </c:pt>
                <c:pt idx="58">
                  <c:v>1.5</c:v>
                </c:pt>
                <c:pt idx="59">
                  <c:v>1.5</c:v>
                </c:pt>
                <c:pt idx="60">
                  <c:v>1.5</c:v>
                </c:pt>
                <c:pt idx="61">
                  <c:v>1.5</c:v>
                </c:pt>
                <c:pt idx="62">
                  <c:v>1.5</c:v>
                </c:pt>
                <c:pt idx="63">
                  <c:v>1.5</c:v>
                </c:pt>
                <c:pt idx="64">
                  <c:v>1.5</c:v>
                </c:pt>
                <c:pt idx="65">
                  <c:v>1.5</c:v>
                </c:pt>
                <c:pt idx="66">
                  <c:v>1.5</c:v>
                </c:pt>
                <c:pt idx="67">
                  <c:v>1.5</c:v>
                </c:pt>
                <c:pt idx="68">
                  <c:v>1.5</c:v>
                </c:pt>
                <c:pt idx="69">
                  <c:v>1.5</c:v>
                </c:pt>
                <c:pt idx="70">
                  <c:v>1.5</c:v>
                </c:pt>
                <c:pt idx="71">
                  <c:v>1.5</c:v>
                </c:pt>
                <c:pt idx="72">
                  <c:v>1.5</c:v>
                </c:pt>
                <c:pt idx="73">
                  <c:v>1.5</c:v>
                </c:pt>
                <c:pt idx="74">
                  <c:v>1.5</c:v>
                </c:pt>
                <c:pt idx="75">
                  <c:v>1.5</c:v>
                </c:pt>
                <c:pt idx="76">
                  <c:v>1.5</c:v>
                </c:pt>
                <c:pt idx="77">
                  <c:v>1.5</c:v>
                </c:pt>
                <c:pt idx="78">
                  <c:v>1.5</c:v>
                </c:pt>
                <c:pt idx="79">
                  <c:v>1.5</c:v>
                </c:pt>
                <c:pt idx="80">
                  <c:v>1.5</c:v>
                </c:pt>
                <c:pt idx="81">
                  <c:v>1.5</c:v>
                </c:pt>
                <c:pt idx="82">
                  <c:v>1.5</c:v>
                </c:pt>
                <c:pt idx="83">
                  <c:v>1.5</c:v>
                </c:pt>
                <c:pt idx="84">
                  <c:v>1.5</c:v>
                </c:pt>
                <c:pt idx="85">
                  <c:v>1.5</c:v>
                </c:pt>
                <c:pt idx="86">
                  <c:v>1.5</c:v>
                </c:pt>
                <c:pt idx="87">
                  <c:v>1.5</c:v>
                </c:pt>
                <c:pt idx="88">
                  <c:v>1.5</c:v>
                </c:pt>
                <c:pt idx="89">
                  <c:v>1.5</c:v>
                </c:pt>
                <c:pt idx="90">
                  <c:v>1.5</c:v>
                </c:pt>
                <c:pt idx="91">
                  <c:v>1.5</c:v>
                </c:pt>
                <c:pt idx="92">
                  <c:v>1.5</c:v>
                </c:pt>
                <c:pt idx="93">
                  <c:v>1.5</c:v>
                </c:pt>
                <c:pt idx="94">
                  <c:v>1.5</c:v>
                </c:pt>
                <c:pt idx="95">
                  <c:v>1.5</c:v>
                </c:pt>
                <c:pt idx="96">
                  <c:v>1.5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</c:numCache>
            </c:numRef>
          </c:yVal>
          <c:smooth val="1"/>
        </c:ser>
        <c:axId val="47603494"/>
        <c:axId val="25778263"/>
      </c:scatterChart>
      <c:valAx>
        <c:axId val="47603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78263"/>
        <c:crosses val="autoZero"/>
        <c:crossBetween val="midCat"/>
        <c:dispUnits/>
      </c:valAx>
      <c:valAx>
        <c:axId val="25778263"/>
        <c:scaling>
          <c:orientation val="minMax"/>
          <c:max val="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034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25</xdr:row>
      <xdr:rowOff>57150</xdr:rowOff>
    </xdr:from>
    <xdr:to>
      <xdr:col>9</xdr:col>
      <xdr:colOff>619125</xdr:colOff>
      <xdr:row>42</xdr:row>
      <xdr:rowOff>133350</xdr:rowOff>
    </xdr:to>
    <xdr:graphicFrame>
      <xdr:nvGraphicFramePr>
        <xdr:cNvPr id="1" name="Chart 15"/>
        <xdr:cNvGraphicFramePr/>
      </xdr:nvGraphicFramePr>
      <xdr:xfrm>
        <a:off x="5895975" y="4657725"/>
        <a:ext cx="29337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25</xdr:row>
      <xdr:rowOff>76200</xdr:rowOff>
    </xdr:from>
    <xdr:to>
      <xdr:col>7</xdr:col>
      <xdr:colOff>571500</xdr:colOff>
      <xdr:row>42</xdr:row>
      <xdr:rowOff>152400</xdr:rowOff>
    </xdr:to>
    <xdr:graphicFrame>
      <xdr:nvGraphicFramePr>
        <xdr:cNvPr id="2" name="Chart 67"/>
        <xdr:cNvGraphicFramePr/>
      </xdr:nvGraphicFramePr>
      <xdr:xfrm>
        <a:off x="3695700" y="4676775"/>
        <a:ext cx="34671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</xdr:colOff>
      <xdr:row>57</xdr:row>
      <xdr:rowOff>19050</xdr:rowOff>
    </xdr:from>
    <xdr:to>
      <xdr:col>10</xdr:col>
      <xdr:colOff>114300</xdr:colOff>
      <xdr:row>74</xdr:row>
      <xdr:rowOff>47625</xdr:rowOff>
    </xdr:to>
    <xdr:graphicFrame>
      <xdr:nvGraphicFramePr>
        <xdr:cNvPr id="3" name="Chart 89"/>
        <xdr:cNvGraphicFramePr/>
      </xdr:nvGraphicFramePr>
      <xdr:xfrm>
        <a:off x="6657975" y="10096500"/>
        <a:ext cx="2438400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85725</xdr:colOff>
      <xdr:row>42</xdr:row>
      <xdr:rowOff>38100</xdr:rowOff>
    </xdr:from>
    <xdr:to>
      <xdr:col>6</xdr:col>
      <xdr:colOff>933450</xdr:colOff>
      <xdr:row>56</xdr:row>
      <xdr:rowOff>9525</xdr:rowOff>
    </xdr:to>
    <xdr:graphicFrame>
      <xdr:nvGraphicFramePr>
        <xdr:cNvPr id="4" name="Chart 90"/>
        <xdr:cNvGraphicFramePr/>
      </xdr:nvGraphicFramePr>
      <xdr:xfrm>
        <a:off x="2238375" y="7543800"/>
        <a:ext cx="42386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733425</xdr:colOff>
      <xdr:row>6</xdr:row>
      <xdr:rowOff>180975</xdr:rowOff>
    </xdr:from>
    <xdr:to>
      <xdr:col>6</xdr:col>
      <xdr:colOff>476250</xdr:colOff>
      <xdr:row>23</xdr:row>
      <xdr:rowOff>38100</xdr:rowOff>
    </xdr:to>
    <xdr:graphicFrame>
      <xdr:nvGraphicFramePr>
        <xdr:cNvPr id="5" name="Chart 93"/>
        <xdr:cNvGraphicFramePr/>
      </xdr:nvGraphicFramePr>
      <xdr:xfrm>
        <a:off x="2886075" y="1314450"/>
        <a:ext cx="3133725" cy="2981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7</xdr:col>
      <xdr:colOff>314325</xdr:colOff>
      <xdr:row>0</xdr:row>
      <xdr:rowOff>19050</xdr:rowOff>
    </xdr:from>
    <xdr:to>
      <xdr:col>8</xdr:col>
      <xdr:colOff>609600</xdr:colOff>
      <xdr:row>1</xdr:row>
      <xdr:rowOff>133350</xdr:rowOff>
    </xdr:to>
    <xdr:pic>
      <xdr:nvPicPr>
        <xdr:cNvPr id="6" name="Picture 9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05625" y="19050"/>
          <a:ext cx="1143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-nc-sa/2.0/fr/" TargetMode="External" /><Relationship Id="rId2" Type="http://schemas.openxmlformats.org/officeDocument/2006/relationships/hyperlink" Target="mailto:briere@univ-reunion.fr" TargetMode="External" /><Relationship Id="rId3" Type="http://schemas.openxmlformats.org/officeDocument/2006/relationships/hyperlink" Target="http://www2.univ-reunion.fr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Q149"/>
  <sheetViews>
    <sheetView tabSelected="1" workbookViewId="0" topLeftCell="A1">
      <selection activeCell="A26" sqref="A26"/>
    </sheetView>
  </sheetViews>
  <sheetFormatPr defaultColWidth="11.421875" defaultRowHeight="12.75"/>
  <cols>
    <col min="1" max="1" width="20.7109375" style="0" customWidth="1"/>
    <col min="2" max="4" width="11.57421875" style="0" bestFit="1" customWidth="1"/>
    <col min="5" max="6" width="13.8515625" style="0" bestFit="1" customWidth="1"/>
    <col min="7" max="7" width="15.7109375" style="0" customWidth="1"/>
    <col min="8" max="8" width="12.7109375" style="0" customWidth="1"/>
    <col min="9" max="11" width="11.57421875" style="0" bestFit="1" customWidth="1"/>
    <col min="12" max="12" width="13.00390625" style="0" bestFit="1" customWidth="1"/>
  </cols>
  <sheetData>
    <row r="1" spans="1:15" ht="18.75" thickBot="1">
      <c r="A1" s="2" t="s">
        <v>53</v>
      </c>
      <c r="J1" s="64" t="s">
        <v>90</v>
      </c>
      <c r="K1" s="65"/>
      <c r="L1" s="65"/>
      <c r="M1" s="65"/>
      <c r="N1" s="65"/>
      <c r="O1" s="66"/>
    </row>
    <row r="2" spans="1:4" ht="13.5" thickBot="1">
      <c r="A2" s="47" t="s">
        <v>72</v>
      </c>
      <c r="B2" s="85" t="s">
        <v>95</v>
      </c>
      <c r="D2" s="85" t="s">
        <v>96</v>
      </c>
    </row>
    <row r="3" spans="4:17" ht="13.5" thickBot="1">
      <c r="D3" s="83" t="s">
        <v>44</v>
      </c>
      <c r="E3" s="84"/>
      <c r="F3" s="77" t="s">
        <v>23</v>
      </c>
      <c r="G3" s="82"/>
      <c r="H3" s="77" t="s">
        <v>20</v>
      </c>
      <c r="I3" s="79"/>
      <c r="J3" s="77" t="s">
        <v>19</v>
      </c>
      <c r="K3" s="78"/>
      <c r="L3" s="55" t="s">
        <v>91</v>
      </c>
      <c r="M3" s="56"/>
      <c r="N3" s="56"/>
      <c r="O3" s="56"/>
      <c r="P3" s="56"/>
      <c r="Q3" s="57"/>
    </row>
    <row r="4" spans="1:17" ht="13.5" thickBot="1">
      <c r="A4" s="80" t="s">
        <v>22</v>
      </c>
      <c r="B4" s="81"/>
      <c r="D4" s="12" t="s">
        <v>24</v>
      </c>
      <c r="E4" s="13">
        <f>ABS(1/2*(tRB-tRA)/(sgmaA+sgmaB))</f>
        <v>7.286822197953555</v>
      </c>
      <c r="F4" s="11" t="s">
        <v>0</v>
      </c>
      <c r="G4" s="24">
        <f>PI()*dint^2/4*Lcm</f>
        <v>5.497787143782138</v>
      </c>
      <c r="H4" s="11" t="s">
        <v>42</v>
      </c>
      <c r="I4" s="24">
        <f>k_Ret_A*Vmort/Vstat</f>
        <v>0.04868681007832648</v>
      </c>
      <c r="J4" s="26" t="s">
        <v>40</v>
      </c>
      <c r="K4" s="25">
        <f>kretb*Vmort/Vstat</f>
        <v>0.17506968254550187</v>
      </c>
      <c r="L4" s="58" t="s">
        <v>92</v>
      </c>
      <c r="M4" s="59"/>
      <c r="N4" s="59"/>
      <c r="O4" s="59"/>
      <c r="P4" s="59"/>
      <c r="Q4" s="60"/>
    </row>
    <row r="5" spans="1:17" ht="13.5" thickBot="1">
      <c r="A5" s="8" t="s">
        <v>5</v>
      </c>
      <c r="B5" s="11">
        <f>C5/10</f>
        <v>0.3</v>
      </c>
      <c r="C5">
        <v>3</v>
      </c>
      <c r="D5" s="14" t="s">
        <v>25</v>
      </c>
      <c r="E5" s="15">
        <f>ABS(0.5*Nvrai^0.5*(tRB-tRA)/(tRB+tRA))</f>
        <v>7.286822197953556</v>
      </c>
      <c r="F5" s="8" t="s">
        <v>45</v>
      </c>
      <c r="G5" s="23">
        <f>porosité*Vint</f>
        <v>1.6493361431346414</v>
      </c>
      <c r="H5" s="25" t="s">
        <v>43</v>
      </c>
      <c r="I5" s="23">
        <f>10^(D13*LOG(xorg/100)+G13)</f>
        <v>0.11360255684942845</v>
      </c>
      <c r="J5" s="25" t="s">
        <v>41</v>
      </c>
      <c r="K5" s="27">
        <f>10^(D14*LOG(xorg/100)+G14)</f>
        <v>0.40849592593950435</v>
      </c>
      <c r="L5" s="58" t="s">
        <v>93</v>
      </c>
      <c r="M5" s="59"/>
      <c r="N5" s="59"/>
      <c r="O5" s="59"/>
      <c r="P5" s="59"/>
      <c r="Q5" s="60"/>
    </row>
    <row r="6" spans="1:17" ht="16.5" thickBot="1">
      <c r="A6" s="11" t="s">
        <v>6</v>
      </c>
      <c r="B6" s="8">
        <f>C6</f>
        <v>28</v>
      </c>
      <c r="C6">
        <v>28</v>
      </c>
      <c r="D6" s="16" t="s">
        <v>26</v>
      </c>
      <c r="E6" s="17">
        <f>1/4*MAX(NeffA,NeffB)^0.5*(E9-1)/E9</f>
        <v>6.524010070370886</v>
      </c>
      <c r="F6" s="11" t="s">
        <v>46</v>
      </c>
      <c r="G6" s="24">
        <f>Vint-Vmort</f>
        <v>3.8484510006474966</v>
      </c>
      <c r="H6" s="11" t="s">
        <v>10</v>
      </c>
      <c r="I6" s="24">
        <f>Vmort+I4*Vstat</f>
        <v>1.8367049460989116</v>
      </c>
      <c r="J6" s="11" t="s">
        <v>13</v>
      </c>
      <c r="K6" s="9">
        <f>Vmort+K4*Vstat</f>
        <v>2.3230832381099176</v>
      </c>
      <c r="L6" s="61" t="s">
        <v>94</v>
      </c>
      <c r="M6" s="62"/>
      <c r="N6" s="62"/>
      <c r="O6" s="62"/>
      <c r="P6" s="62"/>
      <c r="Q6" s="63"/>
    </row>
    <row r="7" spans="1:11" ht="16.5" thickBot="1">
      <c r="A7" s="14" t="s">
        <v>7</v>
      </c>
      <c r="B7" s="11">
        <f>C7/10</f>
        <v>0.5</v>
      </c>
      <c r="C7">
        <v>5</v>
      </c>
      <c r="D7" s="12" t="s">
        <v>27</v>
      </c>
      <c r="E7" s="13">
        <f>1/4*Nvrai^0.5*(E9-1)/E9*MAX(k_Ret_A,kretb)/(1+MAX(k_Ret_A,kretb))</f>
        <v>6.524010070370885</v>
      </c>
      <c r="F7" s="8" t="s">
        <v>17</v>
      </c>
      <c r="G7" s="23">
        <f>Lcm/u</f>
        <v>353.4291735288517</v>
      </c>
      <c r="H7" s="8" t="s">
        <v>11</v>
      </c>
      <c r="I7" s="23">
        <f>VRA/Débit</f>
        <v>6.559660521781827</v>
      </c>
      <c r="J7" s="8" t="s">
        <v>14</v>
      </c>
      <c r="K7" s="3">
        <f>VRB/Débit</f>
        <v>8.296725850392562</v>
      </c>
    </row>
    <row r="8" spans="1:11" ht="16.5" thickBot="1">
      <c r="A8" s="16" t="s">
        <v>30</v>
      </c>
      <c r="B8" s="8">
        <f>C8</f>
        <v>6</v>
      </c>
      <c r="C8">
        <v>6</v>
      </c>
      <c r="D8" s="38" t="s">
        <v>71</v>
      </c>
      <c r="E8" s="39">
        <f>ABS((1/2*Nvrai^0.5)*(10^bA-10^bB)/(2+10^bA+10^bB))</f>
        <v>5.463449600567836</v>
      </c>
      <c r="F8" s="11" t="s">
        <v>16</v>
      </c>
      <c r="G8" s="24">
        <f>tmortsec/60</f>
        <v>5.890486225480862</v>
      </c>
      <c r="H8" s="11" t="s">
        <v>1</v>
      </c>
      <c r="I8" s="24">
        <f>tRA-tmort</f>
        <v>0.669174296300965</v>
      </c>
      <c r="J8" s="11" t="s">
        <v>15</v>
      </c>
      <c r="K8" s="9">
        <f>tRB-tmort</f>
        <v>2.4062396249117004</v>
      </c>
    </row>
    <row r="9" spans="1:11" ht="13.5" thickBot="1">
      <c r="A9" s="71" t="s">
        <v>83</v>
      </c>
      <c r="B9" s="71">
        <f>C9</f>
        <v>72</v>
      </c>
      <c r="C9">
        <v>72</v>
      </c>
      <c r="D9" s="11" t="s">
        <v>49</v>
      </c>
      <c r="E9" s="23">
        <f>IF(k_Ret_A&gt;kretb,k_Ret_A/kretb,kretb/k_Ret_A)</f>
        <v>3.595833907866481</v>
      </c>
      <c r="F9" s="8" t="s">
        <v>34</v>
      </c>
      <c r="G9" s="23">
        <f>Débit/60*Lcm/Vmort</f>
        <v>0.07922379389463235</v>
      </c>
      <c r="H9" s="8" t="s">
        <v>2</v>
      </c>
      <c r="I9" s="23">
        <f>tRedA/tmort</f>
        <v>0.1136025568494285</v>
      </c>
      <c r="J9" s="8" t="s">
        <v>3</v>
      </c>
      <c r="K9" s="3">
        <f>tRedB/tmort</f>
        <v>0.40849592593950435</v>
      </c>
    </row>
    <row r="10" spans="1:11" ht="13.5" thickBot="1">
      <c r="A10" s="72"/>
      <c r="B10" s="72"/>
      <c r="D10" s="73" t="str">
        <f>IF(E8&gt;1.5,"x optimal = 100 %","  ")</f>
        <v>x optimal = 100 %</v>
      </c>
      <c r="E10" s="74"/>
      <c r="F10" s="11" t="s">
        <v>47</v>
      </c>
      <c r="G10" s="24">
        <f>(Astocke+Bstocke/u+Cstocke*u)*10000</f>
        <v>18.023022603000253</v>
      </c>
      <c r="H10" s="18" t="s">
        <v>9</v>
      </c>
      <c r="I10" s="28">
        <f>tRA/Nvrai^0.5</f>
        <v>0.05262791470882836</v>
      </c>
      <c r="J10" s="18" t="s">
        <v>8</v>
      </c>
      <c r="K10" s="28">
        <f>tRB/Nvrai^0.5</f>
        <v>0.06656432584690909</v>
      </c>
    </row>
    <row r="11" spans="1:11" ht="16.5" thickBot="1">
      <c r="A11" s="10" t="s">
        <v>33</v>
      </c>
      <c r="B11" s="11">
        <f>C11/100</f>
        <v>0.28</v>
      </c>
      <c r="C11">
        <v>28</v>
      </c>
      <c r="D11" s="75" t="str">
        <f>IF(E17&lt;1,"INVERSION OBSERVABLE","PAS D'INVERSION OBSERVABLE")</f>
        <v>INVERSION OBSERVABLE</v>
      </c>
      <c r="E11" s="76"/>
      <c r="F11" s="8" t="s">
        <v>39</v>
      </c>
      <c r="G11" s="21">
        <f>Lcm/(hvrai/10000)</f>
        <v>15535.6848941303</v>
      </c>
      <c r="H11" s="8" t="s">
        <v>12</v>
      </c>
      <c r="I11" s="21">
        <f>tRedA^2/sgmaA^2</f>
        <v>161.67623140451195</v>
      </c>
      <c r="J11" s="8" t="s">
        <v>21</v>
      </c>
      <c r="K11" s="21">
        <f>tRedB^2/sgmaB^2</f>
        <v>1306.7565113263192</v>
      </c>
    </row>
    <row r="12" spans="3:7" ht="13.5" thickBot="1">
      <c r="C12" s="67" t="s">
        <v>88</v>
      </c>
      <c r="D12" s="68"/>
      <c r="F12" s="67" t="s">
        <v>89</v>
      </c>
      <c r="G12" s="68"/>
    </row>
    <row r="13" spans="1:11" ht="15" thickBot="1">
      <c r="A13" s="11" t="s">
        <v>18</v>
      </c>
      <c r="B13" s="9">
        <f>0.5/dpart</f>
        <v>0.08333333333333333</v>
      </c>
      <c r="C13" s="11" t="s">
        <v>84</v>
      </c>
      <c r="D13" s="11">
        <f>-E13/100</f>
        <v>-1.72</v>
      </c>
      <c r="E13">
        <v>172</v>
      </c>
      <c r="F13" s="11" t="s">
        <v>86</v>
      </c>
      <c r="G13" s="11">
        <f>-H13/100</f>
        <v>-1.19</v>
      </c>
      <c r="H13">
        <v>119</v>
      </c>
      <c r="J13" s="34" t="s">
        <v>54</v>
      </c>
      <c r="K13" s="8">
        <f>D13-D14</f>
        <v>-0.44999999999999996</v>
      </c>
    </row>
    <row r="14" spans="1:11" ht="13.5" thickBot="1">
      <c r="A14" s="12" t="s">
        <v>32</v>
      </c>
      <c r="B14" s="23">
        <f>Vmort/Lcm*uopt*60</f>
        <v>0.2945243112740431</v>
      </c>
      <c r="C14" s="8" t="s">
        <v>85</v>
      </c>
      <c r="D14" s="8">
        <f>-E14/100</f>
        <v>-1.27</v>
      </c>
      <c r="E14">
        <v>127</v>
      </c>
      <c r="F14" s="8" t="s">
        <v>87</v>
      </c>
      <c r="G14" s="8">
        <f>-H14/100</f>
        <v>-0.57</v>
      </c>
      <c r="H14">
        <v>57</v>
      </c>
      <c r="J14" s="18" t="s">
        <v>55</v>
      </c>
      <c r="K14" s="11">
        <f>G13-G14</f>
        <v>-0.62</v>
      </c>
    </row>
    <row r="15" spans="1:2" ht="13.5" thickBot="1">
      <c r="A15" s="11" t="s">
        <v>31</v>
      </c>
      <c r="B15" s="8">
        <f>3*dpart</f>
        <v>18</v>
      </c>
    </row>
    <row r="16" spans="1:9" ht="18" thickBot="1">
      <c r="A16" s="8" t="s">
        <v>35</v>
      </c>
      <c r="B16" s="19">
        <v>0</v>
      </c>
      <c r="D16" s="33"/>
      <c r="E16" s="11" t="s">
        <v>48</v>
      </c>
      <c r="F16" s="11" t="s">
        <v>56</v>
      </c>
      <c r="G16" s="41"/>
      <c r="H16" s="46"/>
      <c r="I16">
        <v>1.5</v>
      </c>
    </row>
    <row r="17" spans="1:10" ht="15" thickBot="1">
      <c r="A17" s="11" t="s">
        <v>36</v>
      </c>
      <c r="B17" s="22">
        <f>hopt*0.0001*uopt/2</f>
        <v>7.500000000000001E-05</v>
      </c>
      <c r="C17" s="54"/>
      <c r="D17" s="30" t="s">
        <v>74</v>
      </c>
      <c r="E17" s="23">
        <f>10^-(K14/K13)</f>
        <v>0.041900791057866656</v>
      </c>
      <c r="F17" s="11">
        <f>100*E17</f>
        <v>4.1900791057866655</v>
      </c>
      <c r="J17" s="37"/>
    </row>
    <row r="18" spans="1:6" ht="13.5" thickBot="1">
      <c r="A18" s="8" t="s">
        <v>37</v>
      </c>
      <c r="B18" s="20">
        <f>hopt*0.0001/uopt/2</f>
        <v>0.010800000000000002</v>
      </c>
      <c r="D18" s="43" t="s">
        <v>73</v>
      </c>
      <c r="E18" s="23">
        <f>10^-((LOG(D13/D14)+K14)/K13)</f>
        <v>0.08221363213935289</v>
      </c>
      <c r="F18" s="11">
        <f>100*E18</f>
        <v>8.22136321393529</v>
      </c>
    </row>
    <row r="19" spans="1:6" ht="13.5" thickBot="1">
      <c r="A19" s="11" t="s">
        <v>38</v>
      </c>
      <c r="B19" s="29">
        <f>Lcm/hopt*10000</f>
        <v>15555.555555555557</v>
      </c>
      <c r="D19" s="12" t="s">
        <v>70</v>
      </c>
      <c r="E19" s="42">
        <v>0.20782007239226194</v>
      </c>
      <c r="F19" s="42">
        <f>100*E19</f>
        <v>20.782007239226193</v>
      </c>
    </row>
    <row r="20" spans="1:4" ht="13.5" thickBot="1">
      <c r="A20" s="7"/>
      <c r="B20" s="40"/>
      <c r="C20" s="31"/>
      <c r="D20" s="44"/>
    </row>
    <row r="21" spans="1:8" ht="13.5" thickBot="1">
      <c r="A21" s="7"/>
      <c r="B21" s="40"/>
      <c r="C21" s="31"/>
      <c r="D21" s="31"/>
      <c r="E21" s="69" t="s">
        <v>75</v>
      </c>
      <c r="F21" s="70"/>
      <c r="G21" s="8" t="s">
        <v>68</v>
      </c>
      <c r="H21" s="24">
        <f>F17/2</f>
        <v>2.0950395528933328</v>
      </c>
    </row>
    <row r="22" spans="1:8" ht="13.5" thickBot="1">
      <c r="A22" s="7"/>
      <c r="B22" s="40"/>
      <c r="C22" s="31"/>
      <c r="D22" s="31"/>
      <c r="E22" s="45">
        <f>(((aA*10^bA*xmvrai^(aA-1))-(aB*10^bB*xmvrai^(aB-1)))*(2+10^bA*xmvrai^aA+10^bB*xmvrai^aB))-(((aA*10^bA*xmvrai^(aA-1))+(aB*10^bB*xmvrai^(aB-1)))*(10^bA*xmvrai^aA-10^bB*xmvrai^aB))</f>
        <v>-4.263256414560601E-14</v>
      </c>
      <c r="F22" s="45">
        <f>E22*10000000</f>
        <v>-4.263256414560601E-07</v>
      </c>
      <c r="G22" s="10" t="s">
        <v>69</v>
      </c>
      <c r="H22" s="10">
        <f>2*F19</f>
        <v>41.564014478452386</v>
      </c>
    </row>
    <row r="23" spans="1:8" ht="13.5" thickBot="1">
      <c r="A23" s="7"/>
      <c r="B23" s="40"/>
      <c r="C23" s="31"/>
      <c r="D23" s="31"/>
      <c r="G23" s="7"/>
      <c r="H23" s="7"/>
    </row>
    <row r="24" spans="1:10" ht="13.5" thickBot="1">
      <c r="A24" s="48" t="s">
        <v>56</v>
      </c>
      <c r="B24" s="50" t="s">
        <v>2</v>
      </c>
      <c r="C24" s="50" t="s">
        <v>3</v>
      </c>
      <c r="D24" s="49" t="s">
        <v>76</v>
      </c>
      <c r="E24" s="49" t="s">
        <v>77</v>
      </c>
      <c r="F24" s="49" t="s">
        <v>78</v>
      </c>
      <c r="G24" s="52" t="s">
        <v>79</v>
      </c>
      <c r="H24" s="52" t="s">
        <v>80</v>
      </c>
      <c r="I24" s="49" t="s">
        <v>63</v>
      </c>
      <c r="J24" s="49" t="s">
        <v>67</v>
      </c>
    </row>
    <row r="25" spans="1:11" ht="13.5" thickBot="1">
      <c r="A25" s="49">
        <v>3.742493016956505</v>
      </c>
      <c r="B25" s="50">
        <f>10^(aA*LOG(A25/100)+bA)</f>
        <v>18.372281128803156</v>
      </c>
      <c r="C25" s="50">
        <f>10^(aB*LOG(A25/100)+bB)</f>
        <v>17.461660159425218</v>
      </c>
      <c r="D25" s="49">
        <f>IF(B25&gt;C25,B25/C25,C25/B25)</f>
        <v>1.0521497361112262</v>
      </c>
      <c r="E25" s="49">
        <f>tmort*(1+B25)</f>
        <v>114.11215514535783</v>
      </c>
      <c r="F25" s="49">
        <f>tmort*(1+C25)</f>
        <v>108.74815486860305</v>
      </c>
      <c r="G25" s="51">
        <f>E25/Nvrai^0.5</f>
        <v>0.9155176168475236</v>
      </c>
      <c r="H25" s="51">
        <f>F25/Nvrai^0.5</f>
        <v>0.8724824402365089</v>
      </c>
      <c r="I25" s="49">
        <f>0.5*ABS((E25-F25))/(G25+H25)</f>
        <v>1.5000000295029863</v>
      </c>
      <c r="J25" s="49">
        <f>0.25*Nvrai^0.5*(D25-1)/D25*MAX(B25:C25)/(1+MAX(B25:C25))</f>
        <v>1.4647452375698315</v>
      </c>
      <c r="K25" s="35">
        <f>(I25-1.5)*1000</f>
        <v>2.9502986276241927E-05</v>
      </c>
    </row>
    <row r="26" spans="1:8" ht="12.75">
      <c r="A26" s="7"/>
      <c r="B26" s="40"/>
      <c r="C26" s="31"/>
      <c r="D26" s="31"/>
      <c r="G26" s="7"/>
      <c r="H26" s="7"/>
    </row>
    <row r="27" spans="1:4" ht="13.5" thickBot="1">
      <c r="A27" s="7"/>
      <c r="B27" s="40"/>
      <c r="C27" s="31"/>
      <c r="D27" s="31"/>
    </row>
    <row r="28" spans="4:10" ht="13.5" thickBot="1">
      <c r="D28" s="32" t="s">
        <v>4</v>
      </c>
      <c r="E28" s="30" t="s">
        <v>81</v>
      </c>
      <c r="F28" s="24" t="s">
        <v>82</v>
      </c>
      <c r="G28" s="23" t="s">
        <v>50</v>
      </c>
      <c r="I28" s="23" t="s">
        <v>51</v>
      </c>
      <c r="J28" s="23">
        <f>tRA</f>
        <v>6.559660521781827</v>
      </c>
    </row>
    <row r="29" spans="4:10" ht="13.5" thickBot="1">
      <c r="D29" s="23">
        <v>0</v>
      </c>
      <c r="E29" s="30">
        <f aca="true" t="shared" si="0" ref="E29:E92">1/$I$10*EXP(-((D29-$I$7)^2)/2/$I$10^2)</f>
        <v>0</v>
      </c>
      <c r="F29" s="24">
        <f aca="true" t="shared" si="1" ref="F29:F92">1/$K$10*EXP(-((D29-$K$7)^2)/2/$K$10^2)</f>
        <v>0</v>
      </c>
      <c r="G29" s="23">
        <f>E29+F29</f>
        <v>0</v>
      </c>
      <c r="I29" s="24" t="s">
        <v>52</v>
      </c>
      <c r="J29" s="24">
        <f>tRB</f>
        <v>8.296725850392562</v>
      </c>
    </row>
    <row r="30" spans="4:10" ht="13.5" thickBot="1">
      <c r="D30" s="23">
        <f aca="true" t="shared" si="2" ref="D30:D61">D29+$J$31</f>
        <v>0.09126398435431819</v>
      </c>
      <c r="E30" s="30">
        <f t="shared" si="0"/>
        <v>0</v>
      </c>
      <c r="F30" s="24">
        <f t="shared" si="1"/>
        <v>0</v>
      </c>
      <c r="G30" s="23">
        <f aca="true" t="shared" si="3" ref="G30:G93">E30+F30</f>
        <v>0</v>
      </c>
      <c r="I30" s="23" t="s">
        <v>28</v>
      </c>
      <c r="J30" s="23">
        <f>1.1*MAX(J28:J29)</f>
        <v>9.126398435431819</v>
      </c>
    </row>
    <row r="31" spans="4:10" ht="13.5" thickBot="1">
      <c r="D31" s="23">
        <f t="shared" si="2"/>
        <v>0.18252796870863638</v>
      </c>
      <c r="E31" s="30">
        <f t="shared" si="0"/>
        <v>0</v>
      </c>
      <c r="F31" s="24">
        <f t="shared" si="1"/>
        <v>0</v>
      </c>
      <c r="G31" s="23">
        <f t="shared" si="3"/>
        <v>0</v>
      </c>
      <c r="I31" s="30" t="s">
        <v>29</v>
      </c>
      <c r="J31" s="30">
        <f>J30/100</f>
        <v>0.09126398435431819</v>
      </c>
    </row>
    <row r="32" spans="4:10" ht="13.5" thickBot="1">
      <c r="D32" s="23">
        <f t="shared" si="2"/>
        <v>0.27379195306295456</v>
      </c>
      <c r="E32" s="30">
        <f t="shared" si="0"/>
        <v>0</v>
      </c>
      <c r="F32" s="24">
        <f t="shared" si="1"/>
        <v>0</v>
      </c>
      <c r="G32" s="23">
        <f t="shared" si="3"/>
        <v>0</v>
      </c>
      <c r="I32" s="4"/>
      <c r="J32" s="5"/>
    </row>
    <row r="33" spans="4:10" ht="13.5" thickBot="1">
      <c r="D33" s="23">
        <f t="shared" si="2"/>
        <v>0.36505593741727277</v>
      </c>
      <c r="E33" s="30">
        <f t="shared" si="0"/>
        <v>0</v>
      </c>
      <c r="F33" s="24">
        <f t="shared" si="1"/>
        <v>0</v>
      </c>
      <c r="G33" s="23">
        <f t="shared" si="3"/>
        <v>0</v>
      </c>
      <c r="I33" s="6"/>
      <c r="J33" s="6"/>
    </row>
    <row r="34" spans="4:7" ht="13.5" thickBot="1">
      <c r="D34" s="23">
        <f t="shared" si="2"/>
        <v>0.456319921771591</v>
      </c>
      <c r="E34" s="30">
        <f t="shared" si="0"/>
        <v>0</v>
      </c>
      <c r="F34" s="24">
        <f t="shared" si="1"/>
        <v>0</v>
      </c>
      <c r="G34" s="23">
        <f t="shared" si="3"/>
        <v>0</v>
      </c>
    </row>
    <row r="35" spans="4:7" ht="13.5" thickBot="1">
      <c r="D35" s="23">
        <f t="shared" si="2"/>
        <v>0.5475839061259091</v>
      </c>
      <c r="E35" s="30">
        <f t="shared" si="0"/>
        <v>0</v>
      </c>
      <c r="F35" s="24">
        <f t="shared" si="1"/>
        <v>0</v>
      </c>
      <c r="G35" s="23">
        <f t="shared" si="3"/>
        <v>0</v>
      </c>
    </row>
    <row r="36" spans="4:7" ht="13.5" thickBot="1">
      <c r="D36" s="23">
        <f t="shared" si="2"/>
        <v>0.6388478904802273</v>
      </c>
      <c r="E36" s="30">
        <f t="shared" si="0"/>
        <v>0</v>
      </c>
      <c r="F36" s="24">
        <f t="shared" si="1"/>
        <v>0</v>
      </c>
      <c r="G36" s="23">
        <f t="shared" si="3"/>
        <v>0</v>
      </c>
    </row>
    <row r="37" spans="4:7" ht="13.5" thickBot="1">
      <c r="D37" s="23">
        <f t="shared" si="2"/>
        <v>0.7301118748345454</v>
      </c>
      <c r="E37" s="30">
        <f t="shared" si="0"/>
        <v>0</v>
      </c>
      <c r="F37" s="24">
        <f t="shared" si="1"/>
        <v>0</v>
      </c>
      <c r="G37" s="23">
        <f t="shared" si="3"/>
        <v>0</v>
      </c>
    </row>
    <row r="38" spans="4:7" ht="13.5" thickBot="1">
      <c r="D38" s="23">
        <f t="shared" si="2"/>
        <v>0.8213758591888636</v>
      </c>
      <c r="E38" s="30">
        <f t="shared" si="0"/>
        <v>0</v>
      </c>
      <c r="F38" s="24">
        <f t="shared" si="1"/>
        <v>0</v>
      </c>
      <c r="G38" s="23">
        <f t="shared" si="3"/>
        <v>0</v>
      </c>
    </row>
    <row r="39" spans="4:7" ht="13.5" thickBot="1">
      <c r="D39" s="23">
        <f t="shared" si="2"/>
        <v>0.9126398435431817</v>
      </c>
      <c r="E39" s="30">
        <f t="shared" si="0"/>
        <v>0</v>
      </c>
      <c r="F39" s="24">
        <f t="shared" si="1"/>
        <v>0</v>
      </c>
      <c r="G39" s="23">
        <f t="shared" si="3"/>
        <v>0</v>
      </c>
    </row>
    <row r="40" spans="4:7" ht="13.5" thickBot="1">
      <c r="D40" s="23">
        <f t="shared" si="2"/>
        <v>1.0039038278974999</v>
      </c>
      <c r="E40" s="30">
        <f t="shared" si="0"/>
        <v>0</v>
      </c>
      <c r="F40" s="24">
        <f t="shared" si="1"/>
        <v>0</v>
      </c>
      <c r="G40" s="23">
        <f t="shared" si="3"/>
        <v>0</v>
      </c>
    </row>
    <row r="41" spans="4:7" ht="13.5" thickBot="1">
      <c r="D41" s="23">
        <f t="shared" si="2"/>
        <v>1.095167812251818</v>
      </c>
      <c r="E41" s="30">
        <f t="shared" si="0"/>
        <v>0</v>
      </c>
      <c r="F41" s="24">
        <f t="shared" si="1"/>
        <v>0</v>
      </c>
      <c r="G41" s="23">
        <f t="shared" si="3"/>
        <v>0</v>
      </c>
    </row>
    <row r="42" spans="4:7" ht="13.5" thickBot="1">
      <c r="D42" s="23">
        <f t="shared" si="2"/>
        <v>1.1864317966061362</v>
      </c>
      <c r="E42" s="30">
        <f t="shared" si="0"/>
        <v>0</v>
      </c>
      <c r="F42" s="24">
        <f t="shared" si="1"/>
        <v>0</v>
      </c>
      <c r="G42" s="23">
        <f t="shared" si="3"/>
        <v>0</v>
      </c>
    </row>
    <row r="43" spans="4:7" ht="13.5" thickBot="1">
      <c r="D43" s="23">
        <f t="shared" si="2"/>
        <v>1.2776957809604543</v>
      </c>
      <c r="E43" s="30">
        <f t="shared" si="0"/>
        <v>0</v>
      </c>
      <c r="F43" s="24">
        <f t="shared" si="1"/>
        <v>0</v>
      </c>
      <c r="G43" s="23">
        <f t="shared" si="3"/>
        <v>0</v>
      </c>
    </row>
    <row r="44" spans="4:7" ht="13.5" thickBot="1">
      <c r="D44" s="23">
        <f t="shared" si="2"/>
        <v>1.3689597653147725</v>
      </c>
      <c r="E44" s="30">
        <f t="shared" si="0"/>
        <v>0</v>
      </c>
      <c r="F44" s="24">
        <f t="shared" si="1"/>
        <v>0</v>
      </c>
      <c r="G44" s="23">
        <f t="shared" si="3"/>
        <v>0</v>
      </c>
    </row>
    <row r="45" spans="4:7" ht="13.5" thickBot="1">
      <c r="D45" s="23">
        <f t="shared" si="2"/>
        <v>1.4602237496690906</v>
      </c>
      <c r="E45" s="30">
        <f t="shared" si="0"/>
        <v>0</v>
      </c>
      <c r="F45" s="24">
        <f t="shared" si="1"/>
        <v>0</v>
      </c>
      <c r="G45" s="23">
        <f t="shared" si="3"/>
        <v>0</v>
      </c>
    </row>
    <row r="46" spans="4:7" ht="13.5" thickBot="1">
      <c r="D46" s="23">
        <f t="shared" si="2"/>
        <v>1.5514877340234088</v>
      </c>
      <c r="E46" s="30">
        <f t="shared" si="0"/>
        <v>0</v>
      </c>
      <c r="F46" s="24">
        <f t="shared" si="1"/>
        <v>0</v>
      </c>
      <c r="G46" s="23">
        <f t="shared" si="3"/>
        <v>0</v>
      </c>
    </row>
    <row r="47" spans="4:7" ht="13.5" thickBot="1">
      <c r="D47" s="23">
        <f t="shared" si="2"/>
        <v>1.642751718377727</v>
      </c>
      <c r="E47" s="30">
        <f t="shared" si="0"/>
        <v>0</v>
      </c>
      <c r="F47" s="24">
        <f t="shared" si="1"/>
        <v>0</v>
      </c>
      <c r="G47" s="23">
        <f t="shared" si="3"/>
        <v>0</v>
      </c>
    </row>
    <row r="48" spans="4:7" ht="13.5" thickBot="1">
      <c r="D48" s="23">
        <f t="shared" si="2"/>
        <v>1.734015702732045</v>
      </c>
      <c r="E48" s="30">
        <f t="shared" si="0"/>
        <v>0</v>
      </c>
      <c r="F48" s="24">
        <f t="shared" si="1"/>
        <v>0</v>
      </c>
      <c r="G48" s="23">
        <f t="shared" si="3"/>
        <v>0</v>
      </c>
    </row>
    <row r="49" spans="4:7" ht="13.5" thickBot="1">
      <c r="D49" s="23">
        <f t="shared" si="2"/>
        <v>1.8252796870863632</v>
      </c>
      <c r="E49" s="30">
        <f t="shared" si="0"/>
        <v>0</v>
      </c>
      <c r="F49" s="24">
        <f t="shared" si="1"/>
        <v>0</v>
      </c>
      <c r="G49" s="23">
        <f t="shared" si="3"/>
        <v>0</v>
      </c>
    </row>
    <row r="50" spans="4:7" ht="13.5" thickBot="1">
      <c r="D50" s="23">
        <f t="shared" si="2"/>
        <v>1.9165436714406814</v>
      </c>
      <c r="E50" s="30">
        <f t="shared" si="0"/>
        <v>0</v>
      </c>
      <c r="F50" s="24">
        <f t="shared" si="1"/>
        <v>0</v>
      </c>
      <c r="G50" s="23">
        <f t="shared" si="3"/>
        <v>0</v>
      </c>
    </row>
    <row r="51" spans="4:7" ht="13.5" thickBot="1">
      <c r="D51" s="23">
        <f t="shared" si="2"/>
        <v>2.0078076557949998</v>
      </c>
      <c r="E51" s="30">
        <f t="shared" si="0"/>
        <v>0</v>
      </c>
      <c r="F51" s="24">
        <f t="shared" si="1"/>
        <v>0</v>
      </c>
      <c r="G51" s="23">
        <f t="shared" si="3"/>
        <v>0</v>
      </c>
    </row>
    <row r="52" spans="4:7" ht="13.5" thickBot="1">
      <c r="D52" s="23">
        <f t="shared" si="2"/>
        <v>2.099071640149318</v>
      </c>
      <c r="E52" s="30">
        <f t="shared" si="0"/>
        <v>0</v>
      </c>
      <c r="F52" s="24">
        <f t="shared" si="1"/>
        <v>0</v>
      </c>
      <c r="G52" s="23">
        <f t="shared" si="3"/>
        <v>0</v>
      </c>
    </row>
    <row r="53" spans="4:7" ht="13.5" thickBot="1">
      <c r="D53" s="23">
        <f t="shared" si="2"/>
        <v>2.190335624503636</v>
      </c>
      <c r="E53" s="30">
        <f t="shared" si="0"/>
        <v>0</v>
      </c>
      <c r="F53" s="24">
        <f t="shared" si="1"/>
        <v>0</v>
      </c>
      <c r="G53" s="23">
        <f t="shared" si="3"/>
        <v>0</v>
      </c>
    </row>
    <row r="54" spans="4:7" ht="13.5" thickBot="1">
      <c r="D54" s="23">
        <f t="shared" si="2"/>
        <v>2.281599608857954</v>
      </c>
      <c r="E54" s="30">
        <f t="shared" si="0"/>
        <v>0</v>
      </c>
      <c r="F54" s="24">
        <f t="shared" si="1"/>
        <v>0</v>
      </c>
      <c r="G54" s="23">
        <f t="shared" si="3"/>
        <v>0</v>
      </c>
    </row>
    <row r="55" spans="4:7" ht="13.5" thickBot="1">
      <c r="D55" s="23">
        <f t="shared" si="2"/>
        <v>2.3728635932122724</v>
      </c>
      <c r="E55" s="30">
        <f t="shared" si="0"/>
        <v>0</v>
      </c>
      <c r="F55" s="24">
        <f t="shared" si="1"/>
        <v>0</v>
      </c>
      <c r="G55" s="23">
        <f t="shared" si="3"/>
        <v>0</v>
      </c>
    </row>
    <row r="56" spans="4:7" ht="13.5" thickBot="1">
      <c r="D56" s="23">
        <f t="shared" si="2"/>
        <v>2.4641275775665905</v>
      </c>
      <c r="E56" s="30">
        <f t="shared" si="0"/>
        <v>0</v>
      </c>
      <c r="F56" s="24">
        <f t="shared" si="1"/>
        <v>0</v>
      </c>
      <c r="G56" s="23">
        <f t="shared" si="3"/>
        <v>0</v>
      </c>
    </row>
    <row r="57" spans="4:7" ht="13.5" thickBot="1">
      <c r="D57" s="23">
        <f t="shared" si="2"/>
        <v>2.5553915619209087</v>
      </c>
      <c r="E57" s="30">
        <f t="shared" si="0"/>
        <v>0</v>
      </c>
      <c r="F57" s="24">
        <f t="shared" si="1"/>
        <v>0</v>
      </c>
      <c r="G57" s="23">
        <f t="shared" si="3"/>
        <v>0</v>
      </c>
    </row>
    <row r="58" spans="1:7" ht="13.5" thickBot="1">
      <c r="A58" s="4"/>
      <c r="B58" s="53"/>
      <c r="D58" s="23">
        <f t="shared" si="2"/>
        <v>2.646655546275227</v>
      </c>
      <c r="E58" s="30">
        <f t="shared" si="0"/>
        <v>0</v>
      </c>
      <c r="F58" s="24">
        <f t="shared" si="1"/>
        <v>0</v>
      </c>
      <c r="G58" s="23">
        <f t="shared" si="3"/>
        <v>0</v>
      </c>
    </row>
    <row r="59" spans="4:7" ht="13.5" thickBot="1">
      <c r="D59" s="23">
        <f t="shared" si="2"/>
        <v>2.737919530629545</v>
      </c>
      <c r="E59" s="30">
        <f t="shared" si="0"/>
        <v>0</v>
      </c>
      <c r="F59" s="24">
        <f t="shared" si="1"/>
        <v>0</v>
      </c>
      <c r="G59" s="23">
        <f t="shared" si="3"/>
        <v>0</v>
      </c>
    </row>
    <row r="60" spans="4:7" ht="13.5" thickBot="1">
      <c r="D60" s="23">
        <f t="shared" si="2"/>
        <v>2.829183514983863</v>
      </c>
      <c r="E60" s="30">
        <f t="shared" si="0"/>
        <v>0</v>
      </c>
      <c r="F60" s="24">
        <f t="shared" si="1"/>
        <v>0</v>
      </c>
      <c r="G60" s="23">
        <f t="shared" si="3"/>
        <v>0</v>
      </c>
    </row>
    <row r="61" spans="4:7" ht="13.5" thickBot="1">
      <c r="D61" s="23">
        <f t="shared" si="2"/>
        <v>2.9204474993381813</v>
      </c>
      <c r="E61" s="30">
        <f t="shared" si="0"/>
        <v>0</v>
      </c>
      <c r="F61" s="24">
        <f t="shared" si="1"/>
        <v>0</v>
      </c>
      <c r="G61" s="23">
        <f t="shared" si="3"/>
        <v>0</v>
      </c>
    </row>
    <row r="62" spans="4:7" ht="13.5" thickBot="1">
      <c r="D62" s="23">
        <f aca="true" t="shared" si="4" ref="D62:D93">D61+$J$31</f>
        <v>3.0117114836924994</v>
      </c>
      <c r="E62" s="30">
        <f t="shared" si="0"/>
        <v>0</v>
      </c>
      <c r="F62" s="24">
        <f t="shared" si="1"/>
        <v>0</v>
      </c>
      <c r="G62" s="23">
        <f t="shared" si="3"/>
        <v>0</v>
      </c>
    </row>
    <row r="63" spans="4:7" ht="13.5" thickBot="1">
      <c r="D63" s="23">
        <f t="shared" si="4"/>
        <v>3.1029754680468176</v>
      </c>
      <c r="E63" s="30">
        <f t="shared" si="0"/>
        <v>0</v>
      </c>
      <c r="F63" s="24">
        <f t="shared" si="1"/>
        <v>0</v>
      </c>
      <c r="G63" s="23">
        <f t="shared" si="3"/>
        <v>0</v>
      </c>
    </row>
    <row r="64" spans="4:7" ht="13.5" thickBot="1">
      <c r="D64" s="23">
        <f t="shared" si="4"/>
        <v>3.1942394524011357</v>
      </c>
      <c r="E64" s="30">
        <f t="shared" si="0"/>
        <v>0</v>
      </c>
      <c r="F64" s="24">
        <f t="shared" si="1"/>
        <v>0</v>
      </c>
      <c r="G64" s="23">
        <f t="shared" si="3"/>
        <v>0</v>
      </c>
    </row>
    <row r="65" spans="4:7" ht="13.5" thickBot="1">
      <c r="D65" s="23">
        <f t="shared" si="4"/>
        <v>3.285503436755454</v>
      </c>
      <c r="E65" s="30">
        <f t="shared" si="0"/>
        <v>0</v>
      </c>
      <c r="F65" s="24">
        <f t="shared" si="1"/>
        <v>0</v>
      </c>
      <c r="G65" s="23">
        <f t="shared" si="3"/>
        <v>0</v>
      </c>
    </row>
    <row r="66" spans="4:7" ht="13.5" thickBot="1">
      <c r="D66" s="23">
        <f t="shared" si="4"/>
        <v>3.376767421109772</v>
      </c>
      <c r="E66" s="30">
        <f t="shared" si="0"/>
        <v>0</v>
      </c>
      <c r="F66" s="24">
        <f t="shared" si="1"/>
        <v>0</v>
      </c>
      <c r="G66" s="23">
        <f t="shared" si="3"/>
        <v>0</v>
      </c>
    </row>
    <row r="67" spans="4:7" ht="13.5" thickBot="1">
      <c r="D67" s="23">
        <f t="shared" si="4"/>
        <v>3.46803140546409</v>
      </c>
      <c r="E67" s="30">
        <f t="shared" si="0"/>
        <v>0</v>
      </c>
      <c r="F67" s="24">
        <f t="shared" si="1"/>
        <v>0</v>
      </c>
      <c r="G67" s="23">
        <f t="shared" si="3"/>
        <v>0</v>
      </c>
    </row>
    <row r="68" spans="1:7" ht="13.5" thickBot="1">
      <c r="A68" s="7"/>
      <c r="B68" s="5"/>
      <c r="D68" s="23">
        <f t="shared" si="4"/>
        <v>3.5592953898184083</v>
      </c>
      <c r="E68" s="30">
        <f t="shared" si="0"/>
        <v>0</v>
      </c>
      <c r="F68" s="24">
        <f t="shared" si="1"/>
        <v>0</v>
      </c>
      <c r="G68" s="23">
        <f t="shared" si="3"/>
        <v>0</v>
      </c>
    </row>
    <row r="69" spans="4:7" ht="13.5" thickBot="1">
      <c r="D69" s="23">
        <f t="shared" si="4"/>
        <v>3.6505593741727265</v>
      </c>
      <c r="E69" s="30">
        <f t="shared" si="0"/>
        <v>0</v>
      </c>
      <c r="F69" s="24">
        <f t="shared" si="1"/>
        <v>0</v>
      </c>
      <c r="G69" s="23">
        <f t="shared" si="3"/>
        <v>0</v>
      </c>
    </row>
    <row r="70" spans="4:7" ht="13.5" thickBot="1">
      <c r="D70" s="23">
        <f t="shared" si="4"/>
        <v>3.7418233585270446</v>
      </c>
      <c r="E70" s="30">
        <f t="shared" si="0"/>
        <v>0</v>
      </c>
      <c r="F70" s="24">
        <f t="shared" si="1"/>
        <v>0</v>
      </c>
      <c r="G70" s="23">
        <f t="shared" si="3"/>
        <v>0</v>
      </c>
    </row>
    <row r="71" spans="4:7" ht="13.5" thickBot="1">
      <c r="D71" s="23">
        <f t="shared" si="4"/>
        <v>3.8330873428813628</v>
      </c>
      <c r="E71" s="30">
        <f t="shared" si="0"/>
        <v>0</v>
      </c>
      <c r="F71" s="24">
        <f t="shared" si="1"/>
        <v>0</v>
      </c>
      <c r="G71" s="23">
        <f t="shared" si="3"/>
        <v>0</v>
      </c>
    </row>
    <row r="72" spans="4:7" ht="13.5" thickBot="1">
      <c r="D72" s="23">
        <f t="shared" si="4"/>
        <v>3.924351327235681</v>
      </c>
      <c r="E72" s="30">
        <f t="shared" si="0"/>
        <v>0</v>
      </c>
      <c r="F72" s="24">
        <f t="shared" si="1"/>
        <v>0</v>
      </c>
      <c r="G72" s="23">
        <f t="shared" si="3"/>
        <v>0</v>
      </c>
    </row>
    <row r="73" spans="4:7" ht="13.5" thickBot="1">
      <c r="D73" s="23">
        <f t="shared" si="4"/>
        <v>4.0156153115899995</v>
      </c>
      <c r="E73" s="30">
        <f t="shared" si="0"/>
        <v>0</v>
      </c>
      <c r="F73" s="24">
        <f t="shared" si="1"/>
        <v>0</v>
      </c>
      <c r="G73" s="23">
        <f t="shared" si="3"/>
        <v>0</v>
      </c>
    </row>
    <row r="74" spans="4:7" ht="13.5" thickBot="1">
      <c r="D74" s="23">
        <f t="shared" si="4"/>
        <v>4.106879295944318</v>
      </c>
      <c r="E74" s="30">
        <f t="shared" si="0"/>
        <v>0</v>
      </c>
      <c r="F74" s="24">
        <f t="shared" si="1"/>
        <v>0</v>
      </c>
      <c r="G74" s="23">
        <f t="shared" si="3"/>
        <v>0</v>
      </c>
    </row>
    <row r="75" spans="4:7" ht="13.5" thickBot="1">
      <c r="D75" s="23">
        <f t="shared" si="4"/>
        <v>4.198143280298637</v>
      </c>
      <c r="E75" s="30">
        <f t="shared" si="0"/>
        <v>0</v>
      </c>
      <c r="F75" s="24">
        <f t="shared" si="1"/>
        <v>0</v>
      </c>
      <c r="G75" s="23">
        <f t="shared" si="3"/>
        <v>0</v>
      </c>
    </row>
    <row r="76" spans="4:7" ht="13.5" thickBot="1">
      <c r="D76" s="23">
        <f t="shared" si="4"/>
        <v>4.289407264652955</v>
      </c>
      <c r="E76" s="30">
        <f t="shared" si="0"/>
        <v>0</v>
      </c>
      <c r="F76" s="24">
        <f t="shared" si="1"/>
        <v>0</v>
      </c>
      <c r="G76" s="23">
        <f t="shared" si="3"/>
        <v>0</v>
      </c>
    </row>
    <row r="77" spans="4:7" ht="13.5" thickBot="1">
      <c r="D77" s="23">
        <f t="shared" si="4"/>
        <v>4.380671249007274</v>
      </c>
      <c r="E77" s="30">
        <f t="shared" si="0"/>
        <v>0</v>
      </c>
      <c r="F77" s="24">
        <f t="shared" si="1"/>
        <v>0</v>
      </c>
      <c r="G77" s="23">
        <f t="shared" si="3"/>
        <v>0</v>
      </c>
    </row>
    <row r="78" spans="1:7" ht="13.5" thickBot="1">
      <c r="A78" s="1"/>
      <c r="D78" s="23">
        <f t="shared" si="4"/>
        <v>4.4719352333615925</v>
      </c>
      <c r="E78" s="30">
        <f t="shared" si="0"/>
        <v>0</v>
      </c>
      <c r="F78" s="24">
        <f t="shared" si="1"/>
        <v>0</v>
      </c>
      <c r="G78" s="23">
        <f t="shared" si="3"/>
        <v>0</v>
      </c>
    </row>
    <row r="79" spans="1:7" ht="13.5" thickBot="1">
      <c r="A79" s="1"/>
      <c r="D79" s="23">
        <f t="shared" si="4"/>
        <v>4.563199217715911</v>
      </c>
      <c r="E79" s="30">
        <f t="shared" si="0"/>
        <v>0</v>
      </c>
      <c r="F79" s="24">
        <f t="shared" si="1"/>
        <v>0</v>
      </c>
      <c r="G79" s="23">
        <f t="shared" si="3"/>
        <v>0</v>
      </c>
    </row>
    <row r="80" spans="1:7" ht="13.5" thickBot="1">
      <c r="A80" s="1"/>
      <c r="D80" s="23">
        <f t="shared" si="4"/>
        <v>4.65446320207023</v>
      </c>
      <c r="E80" s="30">
        <f t="shared" si="0"/>
        <v>5.016442311110695E-284</v>
      </c>
      <c r="F80" s="24">
        <f t="shared" si="1"/>
        <v>0</v>
      </c>
      <c r="G80" s="23">
        <f t="shared" si="3"/>
        <v>5.016442311110695E-284</v>
      </c>
    </row>
    <row r="81" spans="1:7" ht="13.5" thickBot="1">
      <c r="A81" s="1"/>
      <c r="D81" s="23">
        <f t="shared" si="4"/>
        <v>4.745727186424548</v>
      </c>
      <c r="E81" s="30">
        <f t="shared" si="0"/>
        <v>2.0487895591387657E-257</v>
      </c>
      <c r="F81" s="24">
        <f t="shared" si="1"/>
        <v>0</v>
      </c>
      <c r="G81" s="23">
        <f t="shared" si="3"/>
        <v>2.0487895591387657E-257</v>
      </c>
    </row>
    <row r="82" spans="4:7" ht="13.5" thickBot="1">
      <c r="D82" s="23">
        <f t="shared" si="4"/>
        <v>4.836991170778867</v>
      </c>
      <c r="E82" s="30">
        <f t="shared" si="0"/>
        <v>4.1359553991249284E-232</v>
      </c>
      <c r="F82" s="24">
        <f t="shared" si="1"/>
        <v>0</v>
      </c>
      <c r="G82" s="23">
        <f t="shared" si="3"/>
        <v>4.1359553991249284E-232</v>
      </c>
    </row>
    <row r="83" spans="4:7" ht="13.5" thickBot="1">
      <c r="D83" s="23">
        <f t="shared" si="4"/>
        <v>4.9282551551331855</v>
      </c>
      <c r="E83" s="30">
        <f t="shared" si="0"/>
        <v>4.126969943270001E-208</v>
      </c>
      <c r="F83" s="24">
        <f t="shared" si="1"/>
        <v>0</v>
      </c>
      <c r="G83" s="23">
        <f t="shared" si="3"/>
        <v>4.126969943270001E-208</v>
      </c>
    </row>
    <row r="84" spans="4:7" ht="13.5" thickBot="1">
      <c r="D84" s="23">
        <f t="shared" si="4"/>
        <v>5.019519139487504</v>
      </c>
      <c r="E84" s="30">
        <f t="shared" si="0"/>
        <v>2.035465424305447E-185</v>
      </c>
      <c r="F84" s="24">
        <f t="shared" si="1"/>
        <v>0</v>
      </c>
      <c r="G84" s="23">
        <f t="shared" si="3"/>
        <v>2.035465424305447E-185</v>
      </c>
    </row>
    <row r="85" spans="4:7" ht="13.5" thickBot="1">
      <c r="D85" s="23">
        <f t="shared" si="4"/>
        <v>5.110783123841823</v>
      </c>
      <c r="E85" s="30">
        <f t="shared" si="0"/>
        <v>4.9621868989401044E-164</v>
      </c>
      <c r="F85" s="24">
        <f t="shared" si="1"/>
        <v>0</v>
      </c>
      <c r="G85" s="23">
        <f t="shared" si="3"/>
        <v>4.9621868989401044E-164</v>
      </c>
    </row>
    <row r="86" spans="4:7" ht="13.5" thickBot="1">
      <c r="D86" s="23">
        <f t="shared" si="4"/>
        <v>5.202047108196141</v>
      </c>
      <c r="E86" s="30">
        <f t="shared" si="0"/>
        <v>5.979425655990515E-144</v>
      </c>
      <c r="F86" s="24">
        <f t="shared" si="1"/>
        <v>0</v>
      </c>
      <c r="G86" s="23">
        <f t="shared" si="3"/>
        <v>5.979425655990515E-144</v>
      </c>
    </row>
    <row r="87" spans="4:7" ht="13.5" thickBot="1">
      <c r="D87" s="23">
        <f t="shared" si="4"/>
        <v>5.29331109255046</v>
      </c>
      <c r="E87" s="30">
        <f t="shared" si="0"/>
        <v>3.5614166754565097E-125</v>
      </c>
      <c r="F87" s="24">
        <f t="shared" si="1"/>
        <v>0</v>
      </c>
      <c r="G87" s="23">
        <f t="shared" si="3"/>
        <v>3.5614166754565097E-125</v>
      </c>
    </row>
    <row r="88" spans="4:7" ht="13.5" thickBot="1">
      <c r="D88" s="23">
        <f t="shared" si="4"/>
        <v>5.384575076904778</v>
      </c>
      <c r="E88" s="30">
        <f t="shared" si="0"/>
        <v>1.0484870473262103E-107</v>
      </c>
      <c r="F88" s="24">
        <f t="shared" si="1"/>
        <v>0</v>
      </c>
      <c r="G88" s="23">
        <f t="shared" si="3"/>
        <v>1.0484870473262103E-107</v>
      </c>
    </row>
    <row r="89" spans="4:7" ht="13.5" thickBot="1">
      <c r="D89" s="23">
        <f t="shared" si="4"/>
        <v>5.475839061259097</v>
      </c>
      <c r="E89" s="30">
        <f t="shared" si="0"/>
        <v>1.525739240862524E-91</v>
      </c>
      <c r="F89" s="24">
        <f t="shared" si="1"/>
        <v>0</v>
      </c>
      <c r="G89" s="23">
        <f t="shared" si="3"/>
        <v>1.525739240862524E-91</v>
      </c>
    </row>
    <row r="90" spans="4:7" ht="13.5" thickBot="1">
      <c r="D90" s="23">
        <f t="shared" si="4"/>
        <v>5.567103045613416</v>
      </c>
      <c r="E90" s="30">
        <f t="shared" si="0"/>
        <v>1.0974241853011139E-76</v>
      </c>
      <c r="F90" s="24">
        <f t="shared" si="1"/>
        <v>0</v>
      </c>
      <c r="G90" s="23">
        <f t="shared" si="3"/>
        <v>1.0974241853011139E-76</v>
      </c>
    </row>
    <row r="91" spans="4:7" ht="13.5" thickBot="1">
      <c r="D91" s="23">
        <f t="shared" si="4"/>
        <v>5.658367029967734</v>
      </c>
      <c r="E91" s="30">
        <f t="shared" si="0"/>
        <v>3.9016265917651405E-63</v>
      </c>
      <c r="F91" s="24">
        <f t="shared" si="1"/>
        <v>0</v>
      </c>
      <c r="G91" s="23">
        <f t="shared" si="3"/>
        <v>3.9016265917651405E-63</v>
      </c>
    </row>
    <row r="92" spans="4:7" ht="13.5" thickBot="1">
      <c r="D92" s="23">
        <f t="shared" si="4"/>
        <v>5.749631014322053</v>
      </c>
      <c r="E92" s="30">
        <f t="shared" si="0"/>
        <v>6.856363631483312E-51</v>
      </c>
      <c r="F92" s="24">
        <f t="shared" si="1"/>
        <v>0</v>
      </c>
      <c r="G92" s="23">
        <f t="shared" si="3"/>
        <v>6.856363631483312E-51</v>
      </c>
    </row>
    <row r="93" spans="4:7" ht="13.5" thickBot="1">
      <c r="D93" s="23">
        <f t="shared" si="4"/>
        <v>5.840894998676371</v>
      </c>
      <c r="E93" s="30">
        <f aca="true" t="shared" si="5" ref="E93:E149">1/$I$10*EXP(-((D93-$I$7)^2)/2/$I$10^2)</f>
        <v>5.955509848994865E-40</v>
      </c>
      <c r="F93" s="24">
        <f aca="true" t="shared" si="6" ref="F93:F149">1/$K$10*EXP(-((D93-$K$7)^2)/2/$K$10^2)</f>
        <v>3.994446750227718E-295</v>
      </c>
      <c r="G93" s="23">
        <f t="shared" si="3"/>
        <v>5.955509848994865E-40</v>
      </c>
    </row>
    <row r="94" spans="4:7" ht="13.5" thickBot="1">
      <c r="D94" s="23">
        <f aca="true" t="shared" si="7" ref="D94:D125">D93+$J$31</f>
        <v>5.93215898303069</v>
      </c>
      <c r="E94" s="30">
        <f t="shared" si="5"/>
        <v>2.5569428210883815E-30</v>
      </c>
      <c r="F94" s="24">
        <f t="shared" si="6"/>
        <v>1.4510887219318903E-273</v>
      </c>
      <c r="G94" s="23">
        <f aca="true" t="shared" si="8" ref="G94:G149">E94+F94</f>
        <v>2.5569428210883815E-30</v>
      </c>
    </row>
    <row r="95" spans="4:7" ht="13.5" thickBot="1">
      <c r="D95" s="23">
        <f t="shared" si="7"/>
        <v>6.023422967385009</v>
      </c>
      <c r="E95" s="30">
        <f t="shared" si="5"/>
        <v>5.426253138549339E-22</v>
      </c>
      <c r="F95" s="24">
        <f t="shared" si="6"/>
        <v>8.04519858588331E-253</v>
      </c>
      <c r="G95" s="23">
        <f t="shared" si="8"/>
        <v>5.426253138549339E-22</v>
      </c>
    </row>
    <row r="96" spans="4:7" ht="13.5" thickBot="1">
      <c r="D96" s="23">
        <f t="shared" si="7"/>
        <v>6.114686951739327</v>
      </c>
      <c r="E96" s="30">
        <f t="shared" si="5"/>
        <v>5.691884100412723E-15</v>
      </c>
      <c r="F96" s="24">
        <f t="shared" si="6"/>
        <v>6.80745911354665E-233</v>
      </c>
      <c r="G96" s="23">
        <f t="shared" si="8"/>
        <v>5.691884100412723E-15</v>
      </c>
    </row>
    <row r="97" spans="4:7" ht="13.5" thickBot="1">
      <c r="D97" s="23">
        <f t="shared" si="7"/>
        <v>6.205950936093646</v>
      </c>
      <c r="E97" s="30">
        <f t="shared" si="5"/>
        <v>2.9511345534013122E-09</v>
      </c>
      <c r="F97" s="24">
        <f t="shared" si="6"/>
        <v>8.791010235600991E-214</v>
      </c>
      <c r="G97" s="23">
        <f t="shared" si="8"/>
        <v>2.9511345534013122E-09</v>
      </c>
    </row>
    <row r="98" spans="4:7" ht="13.5" thickBot="1">
      <c r="D98" s="23">
        <f t="shared" si="7"/>
        <v>6.297214920447964</v>
      </c>
      <c r="E98" s="30">
        <f t="shared" si="5"/>
        <v>7.563084252074106E-05</v>
      </c>
      <c r="F98" s="24">
        <f t="shared" si="6"/>
        <v>1.7325987668555377E-195</v>
      </c>
      <c r="G98" s="23">
        <f t="shared" si="8"/>
        <v>7.563084252074106E-05</v>
      </c>
    </row>
    <row r="99" spans="4:7" ht="13.5" thickBot="1">
      <c r="D99" s="23">
        <f t="shared" si="7"/>
        <v>6.388478904802283</v>
      </c>
      <c r="E99" s="30">
        <f t="shared" si="5"/>
        <v>0.09580448271889533</v>
      </c>
      <c r="F99" s="24">
        <f t="shared" si="6"/>
        <v>5.211499342785907E-178</v>
      </c>
      <c r="G99" s="23">
        <f t="shared" si="8"/>
        <v>0.09580448271889533</v>
      </c>
    </row>
    <row r="100" spans="4:7" ht="13.5" thickBot="1">
      <c r="D100" s="23">
        <f t="shared" si="7"/>
        <v>6.479742889156602</v>
      </c>
      <c r="E100" s="30">
        <f t="shared" si="5"/>
        <v>5.99859701069169</v>
      </c>
      <c r="F100" s="24">
        <f t="shared" si="6"/>
        <v>2.3923947727469055E-161</v>
      </c>
      <c r="G100" s="23">
        <f t="shared" si="8"/>
        <v>5.99859701069169</v>
      </c>
    </row>
    <row r="101" spans="4:7" ht="13.5" thickBot="1">
      <c r="D101" s="23">
        <f t="shared" si="7"/>
        <v>6.57100687351092</v>
      </c>
      <c r="E101" s="30">
        <f t="shared" si="5"/>
        <v>18.56480995346882</v>
      </c>
      <c r="F101" s="24">
        <f t="shared" si="6"/>
        <v>1.676132987739108E-145</v>
      </c>
      <c r="G101" s="23">
        <f t="shared" si="8"/>
        <v>18.56480995346882</v>
      </c>
    </row>
    <row r="102" spans="4:7" ht="13.5" thickBot="1">
      <c r="D102" s="23">
        <f t="shared" si="7"/>
        <v>6.662270857865239</v>
      </c>
      <c r="E102" s="30">
        <f t="shared" si="5"/>
        <v>2.83993430154421</v>
      </c>
      <c r="F102" s="24">
        <f t="shared" si="6"/>
        <v>1.792212793667969E-130</v>
      </c>
      <c r="G102" s="23">
        <f t="shared" si="8"/>
        <v>2.83993430154421</v>
      </c>
    </row>
    <row r="103" spans="4:7" ht="13.5" thickBot="1">
      <c r="D103" s="23">
        <f t="shared" si="7"/>
        <v>6.753534842219557</v>
      </c>
      <c r="E103" s="30">
        <f t="shared" si="5"/>
        <v>0.021473510225911416</v>
      </c>
      <c r="F103" s="24">
        <f t="shared" si="6"/>
        <v>2.9246651091717215E-116</v>
      </c>
      <c r="G103" s="23">
        <f t="shared" si="8"/>
        <v>0.021473510225911416</v>
      </c>
    </row>
    <row r="104" spans="4:7" ht="13.5" thickBot="1">
      <c r="D104" s="23">
        <f t="shared" si="7"/>
        <v>6.844798826573876</v>
      </c>
      <c r="E104" s="30">
        <f t="shared" si="5"/>
        <v>8.025549135522087E-06</v>
      </c>
      <c r="F104" s="24">
        <f t="shared" si="6"/>
        <v>7.283970631305339E-103</v>
      </c>
      <c r="G104" s="23">
        <f t="shared" si="8"/>
        <v>8.025549135522087E-06</v>
      </c>
    </row>
    <row r="105" spans="4:7" ht="13.5" thickBot="1">
      <c r="D105" s="23">
        <f t="shared" si="7"/>
        <v>6.9360628109281945</v>
      </c>
      <c r="E105" s="30">
        <f t="shared" si="5"/>
        <v>1.4825980930688667E-10</v>
      </c>
      <c r="F105" s="24">
        <f t="shared" si="6"/>
        <v>2.768634964379905E-90</v>
      </c>
      <c r="G105" s="23">
        <f t="shared" si="8"/>
        <v>1.4825980930688667E-10</v>
      </c>
    </row>
    <row r="106" spans="4:7" ht="13.5" thickBot="1">
      <c r="D106" s="23">
        <f t="shared" si="7"/>
        <v>7.027326795282513</v>
      </c>
      <c r="E106" s="30">
        <f t="shared" si="5"/>
        <v>1.353783077126875E-16</v>
      </c>
      <c r="F106" s="24">
        <f t="shared" si="6"/>
        <v>1.6060855820973388E-78</v>
      </c>
      <c r="G106" s="23">
        <f t="shared" si="8"/>
        <v>1.353783077126875E-16</v>
      </c>
    </row>
    <row r="107" spans="4:7" ht="13.5" thickBot="1">
      <c r="D107" s="23">
        <f t="shared" si="7"/>
        <v>7.118590779636832</v>
      </c>
      <c r="E107" s="30">
        <f t="shared" si="5"/>
        <v>6.1101474282158415E-24</v>
      </c>
      <c r="F107" s="24">
        <f t="shared" si="6"/>
        <v>1.4219264695596915E-67</v>
      </c>
      <c r="G107" s="23">
        <f t="shared" si="8"/>
        <v>6.1101474282158415E-24</v>
      </c>
    </row>
    <row r="108" spans="4:7" ht="13.5" thickBot="1">
      <c r="D108" s="23">
        <f t="shared" si="7"/>
        <v>7.20985476399115</v>
      </c>
      <c r="E108" s="30">
        <f t="shared" si="5"/>
        <v>1.3631111242002084E-32</v>
      </c>
      <c r="F108" s="24">
        <f t="shared" si="6"/>
        <v>1.921281784652533E-57</v>
      </c>
      <c r="G108" s="23">
        <f t="shared" si="8"/>
        <v>1.3631111242002084E-32</v>
      </c>
    </row>
    <row r="109" spans="4:7" ht="13.5" thickBot="1">
      <c r="D109" s="23">
        <f t="shared" si="7"/>
        <v>7.301118748345469</v>
      </c>
      <c r="E109" s="30">
        <f t="shared" si="5"/>
        <v>1.5030997391133002E-42</v>
      </c>
      <c r="F109" s="24">
        <f t="shared" si="6"/>
        <v>3.9619634332605494E-48</v>
      </c>
      <c r="G109" s="23">
        <f t="shared" si="8"/>
        <v>1.5031037010767334E-42</v>
      </c>
    </row>
    <row r="110" spans="4:7" ht="13.5" thickBot="1">
      <c r="D110" s="23">
        <f t="shared" si="7"/>
        <v>7.3923827326997875</v>
      </c>
      <c r="E110" s="30">
        <f t="shared" si="5"/>
        <v>8.192591515038529E-54</v>
      </c>
      <c r="F110" s="24">
        <f t="shared" si="6"/>
        <v>1.2469106424117872E-39</v>
      </c>
      <c r="G110" s="23">
        <f t="shared" si="8"/>
        <v>1.2469106424117954E-39</v>
      </c>
    </row>
    <row r="111" spans="4:7" ht="13.5" thickBot="1">
      <c r="D111" s="23">
        <f t="shared" si="7"/>
        <v>7.483646717054106</v>
      </c>
      <c r="E111" s="30">
        <f t="shared" si="5"/>
        <v>2.2071495863251652E-66</v>
      </c>
      <c r="F111" s="24">
        <f t="shared" si="6"/>
        <v>5.989156637198075E-32</v>
      </c>
      <c r="G111" s="23">
        <f t="shared" si="8"/>
        <v>5.989156637198075E-32</v>
      </c>
    </row>
    <row r="112" spans="4:7" ht="13.5" thickBot="1">
      <c r="D112" s="23">
        <f t="shared" si="7"/>
        <v>7.574910701408425</v>
      </c>
      <c r="E112" s="30">
        <f t="shared" si="5"/>
        <v>2.939132728552401E-80</v>
      </c>
      <c r="F112" s="24">
        <f t="shared" si="6"/>
        <v>4.390373643624973E-25</v>
      </c>
      <c r="G112" s="23">
        <f t="shared" si="8"/>
        <v>4.390373643624973E-25</v>
      </c>
    </row>
    <row r="113" spans="4:7" ht="13.5" thickBot="1">
      <c r="D113" s="23">
        <f t="shared" si="7"/>
        <v>7.666174685762743</v>
      </c>
      <c r="E113" s="30">
        <f t="shared" si="5"/>
        <v>1.9345661944665354E-95</v>
      </c>
      <c r="F113" s="24">
        <f t="shared" si="6"/>
        <v>4.911823636267324E-19</v>
      </c>
      <c r="G113" s="23">
        <f t="shared" si="8"/>
        <v>4.911823636267324E-19</v>
      </c>
    </row>
    <row r="114" spans="4:7" ht="13.5" thickBot="1">
      <c r="D114" s="23">
        <f t="shared" si="7"/>
        <v>7.757438670117062</v>
      </c>
      <c r="E114" s="30">
        <f t="shared" si="5"/>
        <v>6.293974145234306E-112</v>
      </c>
      <c r="F114" s="24">
        <f t="shared" si="6"/>
        <v>8.386669289974106E-14</v>
      </c>
      <c r="G114" s="23">
        <f t="shared" si="8"/>
        <v>8.386669289974106E-14</v>
      </c>
    </row>
    <row r="115" spans="4:7" ht="13.5" thickBot="1">
      <c r="D115" s="23">
        <f t="shared" si="7"/>
        <v>7.8487026544713805</v>
      </c>
      <c r="E115" s="30">
        <f t="shared" si="5"/>
        <v>1.0121462706162412E-129</v>
      </c>
      <c r="F115" s="24">
        <f t="shared" si="6"/>
        <v>2.1854543647791006E-09</v>
      </c>
      <c r="G115" s="23">
        <f t="shared" si="8"/>
        <v>2.1854543647791006E-09</v>
      </c>
    </row>
    <row r="116" spans="4:7" ht="13.5" thickBot="1">
      <c r="D116" s="23">
        <f t="shared" si="7"/>
        <v>7.939966638825699</v>
      </c>
      <c r="E116" s="30">
        <f t="shared" si="5"/>
        <v>8.045231927956567E-149</v>
      </c>
      <c r="F116" s="24">
        <f t="shared" si="6"/>
        <v>8.691594126442644E-06</v>
      </c>
      <c r="G116" s="23">
        <f t="shared" si="8"/>
        <v>8.691594126442644E-06</v>
      </c>
    </row>
    <row r="117" spans="4:7" ht="13.5" thickBot="1">
      <c r="D117" s="23">
        <f t="shared" si="7"/>
        <v>8.031230623180017</v>
      </c>
      <c r="E117" s="30">
        <f t="shared" si="5"/>
        <v>3.160900478587538E-169</v>
      </c>
      <c r="F117" s="24">
        <f t="shared" si="6"/>
        <v>0.005275487573464273</v>
      </c>
      <c r="G117" s="23">
        <f t="shared" si="8"/>
        <v>0.005275487573464273</v>
      </c>
    </row>
    <row r="118" spans="4:7" ht="13.5" thickBot="1">
      <c r="D118" s="23">
        <f t="shared" si="7"/>
        <v>8.122494607534335</v>
      </c>
      <c r="E118" s="30">
        <f t="shared" si="5"/>
        <v>6.138468626930358E-191</v>
      </c>
      <c r="F118" s="24">
        <f t="shared" si="6"/>
        <v>0.4886875131129804</v>
      </c>
      <c r="G118" s="23">
        <f t="shared" si="8"/>
        <v>0.4886875131129804</v>
      </c>
    </row>
    <row r="119" spans="4:7" ht="13.5" thickBot="1">
      <c r="D119" s="23">
        <f t="shared" si="7"/>
        <v>8.213758591888654</v>
      </c>
      <c r="E119" s="30">
        <f t="shared" si="5"/>
        <v>5.892318629045104E-214</v>
      </c>
      <c r="F119" s="24">
        <f t="shared" si="6"/>
        <v>6.908843434699379</v>
      </c>
      <c r="G119" s="23">
        <f t="shared" si="8"/>
        <v>6.908843434699379</v>
      </c>
    </row>
    <row r="120" spans="4:7" ht="13.5" thickBot="1">
      <c r="D120" s="23">
        <f t="shared" si="7"/>
        <v>8.305022576242973</v>
      </c>
      <c r="E120" s="30">
        <f t="shared" si="5"/>
        <v>2.795692303443926E-238</v>
      </c>
      <c r="F120" s="24">
        <f t="shared" si="6"/>
        <v>14.906817377776987</v>
      </c>
      <c r="G120" s="23">
        <f t="shared" si="8"/>
        <v>14.906817377776987</v>
      </c>
    </row>
    <row r="121" spans="4:7" ht="13.5" thickBot="1">
      <c r="D121" s="23">
        <f t="shared" si="7"/>
        <v>8.396286560597291</v>
      </c>
      <c r="E121" s="30">
        <f t="shared" si="5"/>
        <v>6.556461008784576E-264</v>
      </c>
      <c r="F121" s="24">
        <f t="shared" si="6"/>
        <v>4.908739463884221</v>
      </c>
      <c r="G121" s="23">
        <f t="shared" si="8"/>
        <v>4.908739463884221</v>
      </c>
    </row>
    <row r="122" spans="4:7" ht="13.5" thickBot="1">
      <c r="D122" s="23">
        <f t="shared" si="7"/>
        <v>8.48755054495161</v>
      </c>
      <c r="E122" s="30">
        <f t="shared" si="5"/>
        <v>7.60022692206956E-291</v>
      </c>
      <c r="F122" s="24">
        <f t="shared" si="6"/>
        <v>0.2466950891990243</v>
      </c>
      <c r="G122" s="23">
        <f t="shared" si="8"/>
        <v>0.2466950891990243</v>
      </c>
    </row>
    <row r="123" spans="4:7" ht="13.5" thickBot="1">
      <c r="D123" s="23">
        <f t="shared" si="7"/>
        <v>8.578814529305928</v>
      </c>
      <c r="E123" s="30">
        <f t="shared" si="5"/>
        <v>0</v>
      </c>
      <c r="F123" s="24">
        <f t="shared" si="6"/>
        <v>0.0018921540764396387</v>
      </c>
      <c r="G123" s="23">
        <f t="shared" si="8"/>
        <v>0.0018921540764396387</v>
      </c>
    </row>
    <row r="124" spans="4:7" ht="13.5" thickBot="1">
      <c r="D124" s="23">
        <f t="shared" si="7"/>
        <v>8.670078513660247</v>
      </c>
      <c r="E124" s="30">
        <f t="shared" si="5"/>
        <v>0</v>
      </c>
      <c r="F124" s="24">
        <f t="shared" si="6"/>
        <v>2.2149195793491764E-06</v>
      </c>
      <c r="G124" s="23">
        <f t="shared" si="8"/>
        <v>2.2149195793491764E-06</v>
      </c>
    </row>
    <row r="125" spans="4:7" ht="13.5" thickBot="1">
      <c r="D125" s="23">
        <f t="shared" si="7"/>
        <v>8.761342498014566</v>
      </c>
      <c r="E125" s="30">
        <f t="shared" si="5"/>
        <v>0</v>
      </c>
      <c r="F125" s="24">
        <f t="shared" si="6"/>
        <v>3.956989499835347E-10</v>
      </c>
      <c r="G125" s="23">
        <f t="shared" si="8"/>
        <v>3.956989499835347E-10</v>
      </c>
    </row>
    <row r="126" spans="4:7" ht="13.5" thickBot="1">
      <c r="D126" s="23">
        <f aca="true" t="shared" si="9" ref="D126:D149">D125+$J$31</f>
        <v>8.852606482368884</v>
      </c>
      <c r="E126" s="30">
        <f t="shared" si="5"/>
        <v>0</v>
      </c>
      <c r="F126" s="24">
        <f t="shared" si="6"/>
        <v>1.0788903399547611E-14</v>
      </c>
      <c r="G126" s="23">
        <f t="shared" si="8"/>
        <v>1.0788903399547611E-14</v>
      </c>
    </row>
    <row r="127" spans="4:7" ht="13.5" thickBot="1">
      <c r="D127" s="23">
        <f t="shared" si="9"/>
        <v>8.943870466723203</v>
      </c>
      <c r="E127" s="30">
        <f t="shared" si="5"/>
        <v>0</v>
      </c>
      <c r="F127" s="24">
        <f t="shared" si="6"/>
        <v>4.4894711229351564E-20</v>
      </c>
      <c r="G127" s="23">
        <f t="shared" si="8"/>
        <v>4.4894711229351564E-20</v>
      </c>
    </row>
    <row r="128" spans="4:7" ht="13.5" thickBot="1">
      <c r="D128" s="23">
        <f t="shared" si="9"/>
        <v>9.035134451077521</v>
      </c>
      <c r="E128" s="30">
        <f t="shared" si="5"/>
        <v>0</v>
      </c>
      <c r="F128" s="24">
        <f t="shared" si="6"/>
        <v>2.851139923667639E-26</v>
      </c>
      <c r="G128" s="23">
        <f t="shared" si="8"/>
        <v>2.851139923667639E-26</v>
      </c>
    </row>
    <row r="129" spans="4:7" ht="13.5" thickBot="1">
      <c r="D129" s="23">
        <f t="shared" si="9"/>
        <v>9.12639843543184</v>
      </c>
      <c r="E129" s="30">
        <f t="shared" si="5"/>
        <v>0</v>
      </c>
      <c r="F129" s="24">
        <f t="shared" si="6"/>
        <v>2.7634228959643196E-33</v>
      </c>
      <c r="G129" s="23">
        <f t="shared" si="8"/>
        <v>2.7634228959643196E-33</v>
      </c>
    </row>
    <row r="130" spans="4:7" ht="13.5" thickBot="1">
      <c r="D130" s="23">
        <f t="shared" si="9"/>
        <v>9.217662419786159</v>
      </c>
      <c r="E130" s="30">
        <f t="shared" si="5"/>
        <v>0</v>
      </c>
      <c r="F130" s="24">
        <f t="shared" si="6"/>
        <v>4.0877247333671953E-41</v>
      </c>
      <c r="G130" s="23">
        <f t="shared" si="8"/>
        <v>4.0877247333671953E-41</v>
      </c>
    </row>
    <row r="131" spans="4:7" ht="13.5" thickBot="1">
      <c r="D131" s="23">
        <f t="shared" si="9"/>
        <v>9.308926404140477</v>
      </c>
      <c r="E131" s="30">
        <f t="shared" si="5"/>
        <v>0</v>
      </c>
      <c r="F131" s="24">
        <f t="shared" si="6"/>
        <v>9.228293641095896E-50</v>
      </c>
      <c r="G131" s="23">
        <f t="shared" si="8"/>
        <v>9.228293641095896E-50</v>
      </c>
    </row>
    <row r="132" spans="4:7" ht="13.5" thickBot="1">
      <c r="D132" s="23">
        <f t="shared" si="9"/>
        <v>9.400190388494796</v>
      </c>
      <c r="E132" s="30">
        <f t="shared" si="5"/>
        <v>0</v>
      </c>
      <c r="F132" s="24">
        <f t="shared" si="6"/>
        <v>3.1795571732430983E-59</v>
      </c>
      <c r="G132" s="23">
        <f t="shared" si="8"/>
        <v>3.1795571732430983E-59</v>
      </c>
    </row>
    <row r="133" spans="4:7" ht="13.5" thickBot="1">
      <c r="D133" s="23">
        <f t="shared" si="9"/>
        <v>9.491454372849114</v>
      </c>
      <c r="E133" s="30">
        <f t="shared" si="5"/>
        <v>0</v>
      </c>
      <c r="F133" s="24">
        <f t="shared" si="6"/>
        <v>1.6719271232349555E-69</v>
      </c>
      <c r="G133" s="23">
        <f t="shared" si="8"/>
        <v>1.6719271232349555E-69</v>
      </c>
    </row>
    <row r="134" spans="4:7" ht="13.5" thickBot="1">
      <c r="D134" s="23">
        <f t="shared" si="9"/>
        <v>9.582718357203433</v>
      </c>
      <c r="E134" s="30">
        <f t="shared" si="5"/>
        <v>0</v>
      </c>
      <c r="F134" s="24">
        <f t="shared" si="6"/>
        <v>1.3417559165837146E-80</v>
      </c>
      <c r="G134" s="23">
        <f t="shared" si="8"/>
        <v>1.3417559165837146E-80</v>
      </c>
    </row>
    <row r="135" spans="4:7" ht="13.5" thickBot="1">
      <c r="D135" s="23">
        <f t="shared" si="9"/>
        <v>9.673982341557751</v>
      </c>
      <c r="E135" s="30">
        <f t="shared" si="5"/>
        <v>0</v>
      </c>
      <c r="F135" s="24">
        <f t="shared" si="6"/>
        <v>1.6433692859515162E-92</v>
      </c>
      <c r="G135" s="23">
        <f t="shared" si="8"/>
        <v>1.6433692859515162E-92</v>
      </c>
    </row>
    <row r="136" spans="4:7" ht="13.5" thickBot="1">
      <c r="D136" s="23">
        <f t="shared" si="9"/>
        <v>9.76524632591207</v>
      </c>
      <c r="E136" s="30">
        <f t="shared" si="5"/>
        <v>0</v>
      </c>
      <c r="F136" s="24">
        <f t="shared" si="6"/>
        <v>3.0718661186075616E-105</v>
      </c>
      <c r="G136" s="23">
        <f t="shared" si="8"/>
        <v>3.0718661186075616E-105</v>
      </c>
    </row>
    <row r="137" spans="4:7" ht="13.5" thickBot="1">
      <c r="D137" s="23">
        <f t="shared" si="9"/>
        <v>9.856510310266389</v>
      </c>
      <c r="E137" s="30">
        <f t="shared" si="5"/>
        <v>0</v>
      </c>
      <c r="F137" s="24">
        <f t="shared" si="6"/>
        <v>8.763445154434396E-119</v>
      </c>
      <c r="G137" s="23">
        <f t="shared" si="8"/>
        <v>8.763445154434396E-119</v>
      </c>
    </row>
    <row r="138" spans="4:7" ht="13.5" thickBot="1">
      <c r="D138" s="23">
        <f t="shared" si="9"/>
        <v>9.947774294620707</v>
      </c>
      <c r="E138" s="30">
        <f t="shared" si="5"/>
        <v>0</v>
      </c>
      <c r="F138" s="24">
        <f t="shared" si="6"/>
        <v>3.815512961713366E-133</v>
      </c>
      <c r="G138" s="23">
        <f t="shared" si="8"/>
        <v>3.815512961713366E-133</v>
      </c>
    </row>
    <row r="139" spans="4:7" ht="13.5" thickBot="1">
      <c r="D139" s="23">
        <f t="shared" si="9"/>
        <v>10.039038278975026</v>
      </c>
      <c r="E139" s="30">
        <f t="shared" si="5"/>
        <v>0</v>
      </c>
      <c r="F139" s="24">
        <f t="shared" si="6"/>
        <v>2.5353414960759267E-148</v>
      </c>
      <c r="G139" s="23">
        <f t="shared" si="8"/>
        <v>2.5353414960759267E-148</v>
      </c>
    </row>
    <row r="140" spans="4:7" ht="13.5" thickBot="1">
      <c r="D140" s="23">
        <f t="shared" si="9"/>
        <v>10.130302263329344</v>
      </c>
      <c r="E140" s="30">
        <f t="shared" si="5"/>
        <v>0</v>
      </c>
      <c r="F140" s="24">
        <f t="shared" si="6"/>
        <v>2.5711384739598423E-164</v>
      </c>
      <c r="G140" s="23">
        <f t="shared" si="8"/>
        <v>2.5711384739598423E-164</v>
      </c>
    </row>
    <row r="141" spans="4:7" ht="13.5" thickBot="1">
      <c r="D141" s="23">
        <f t="shared" si="9"/>
        <v>10.221566247683663</v>
      </c>
      <c r="E141" s="30">
        <f t="shared" si="5"/>
        <v>0</v>
      </c>
      <c r="F141" s="24">
        <f t="shared" si="6"/>
        <v>3.979421488037112E-181</v>
      </c>
      <c r="G141" s="23">
        <f t="shared" si="8"/>
        <v>3.979421488037112E-181</v>
      </c>
    </row>
    <row r="142" spans="4:7" ht="13.5" thickBot="1">
      <c r="D142" s="23">
        <f t="shared" si="9"/>
        <v>10.312830232037982</v>
      </c>
      <c r="E142" s="30">
        <f t="shared" si="5"/>
        <v>0</v>
      </c>
      <c r="F142" s="24">
        <f t="shared" si="6"/>
        <v>9.39982753665665E-199</v>
      </c>
      <c r="G142" s="23">
        <f t="shared" si="8"/>
        <v>9.39982753665665E-199</v>
      </c>
    </row>
    <row r="143" spans="4:7" ht="13.5" thickBot="1">
      <c r="D143" s="23">
        <f t="shared" si="9"/>
        <v>10.4040942163923</v>
      </c>
      <c r="E143" s="30">
        <f t="shared" si="5"/>
        <v>0</v>
      </c>
      <c r="F143" s="24">
        <f t="shared" si="6"/>
        <v>3.3886389724737035E-217</v>
      </c>
      <c r="G143" s="23">
        <f t="shared" si="8"/>
        <v>3.3886389724737035E-217</v>
      </c>
    </row>
    <row r="144" spans="4:7" ht="13.5" thickBot="1">
      <c r="D144" s="23">
        <f t="shared" si="9"/>
        <v>10.495358200746619</v>
      </c>
      <c r="E144" s="30">
        <f t="shared" si="5"/>
        <v>0</v>
      </c>
      <c r="F144" s="24">
        <f t="shared" si="6"/>
        <v>1.864387524977787E-236</v>
      </c>
      <c r="G144" s="23">
        <f t="shared" si="8"/>
        <v>1.864387524977787E-236</v>
      </c>
    </row>
    <row r="145" spans="4:7" ht="13.5" thickBot="1">
      <c r="D145" s="23">
        <f t="shared" si="9"/>
        <v>10.586622185100937</v>
      </c>
      <c r="E145" s="30">
        <f t="shared" si="5"/>
        <v>0</v>
      </c>
      <c r="F145" s="24">
        <f t="shared" si="6"/>
        <v>1.5654981056406243E-256</v>
      </c>
      <c r="G145" s="23">
        <f t="shared" si="8"/>
        <v>1.5654981056406243E-256</v>
      </c>
    </row>
    <row r="146" spans="4:7" ht="13.5" thickBot="1">
      <c r="D146" s="23">
        <f t="shared" si="9"/>
        <v>10.677886169455256</v>
      </c>
      <c r="E146" s="30">
        <f t="shared" si="5"/>
        <v>0</v>
      </c>
      <c r="F146" s="24">
        <f t="shared" si="6"/>
        <v>2.006200691034376E-277</v>
      </c>
      <c r="G146" s="23">
        <f t="shared" si="8"/>
        <v>2.006200691034376E-277</v>
      </c>
    </row>
    <row r="147" spans="4:7" ht="13.5" thickBot="1">
      <c r="D147" s="23">
        <f t="shared" si="9"/>
        <v>10.769150153809575</v>
      </c>
      <c r="E147" s="30">
        <f t="shared" si="5"/>
        <v>0</v>
      </c>
      <c r="F147" s="24">
        <f t="shared" si="6"/>
        <v>3.9237531380067193E-299</v>
      </c>
      <c r="G147" s="23">
        <f t="shared" si="8"/>
        <v>3.9237531380067193E-299</v>
      </c>
    </row>
    <row r="148" spans="4:7" ht="13.5" thickBot="1">
      <c r="D148" s="23">
        <f t="shared" si="9"/>
        <v>10.860414138163893</v>
      </c>
      <c r="E148" s="30">
        <f t="shared" si="5"/>
        <v>0</v>
      </c>
      <c r="F148" s="24">
        <f t="shared" si="6"/>
        <v>0</v>
      </c>
      <c r="G148" s="23">
        <f t="shared" si="8"/>
        <v>0</v>
      </c>
    </row>
    <row r="149" spans="4:7" ht="13.5" thickBot="1">
      <c r="D149" s="23">
        <f t="shared" si="9"/>
        <v>10.951678122518212</v>
      </c>
      <c r="E149" s="30">
        <f t="shared" si="5"/>
        <v>0</v>
      </c>
      <c r="F149" s="24">
        <f t="shared" si="6"/>
        <v>0</v>
      </c>
      <c r="G149" s="23">
        <f t="shared" si="8"/>
        <v>0</v>
      </c>
    </row>
  </sheetData>
  <mergeCells count="13">
    <mergeCell ref="A4:B4"/>
    <mergeCell ref="F3:G3"/>
    <mergeCell ref="D3:E3"/>
    <mergeCell ref="A9:A10"/>
    <mergeCell ref="B9:B10"/>
    <mergeCell ref="D10:E10"/>
    <mergeCell ref="D11:E11"/>
    <mergeCell ref="J1:O1"/>
    <mergeCell ref="C12:D12"/>
    <mergeCell ref="F12:G12"/>
    <mergeCell ref="E21:F21"/>
    <mergeCell ref="J3:K3"/>
    <mergeCell ref="H3:I3"/>
  </mergeCells>
  <conditionalFormatting sqref="G16:H16">
    <cfRule type="cellIs" priority="1" dxfId="0" operator="equal" stopIfTrue="1">
      <formula>"DA/DB &lt; 0 : intersection pour x &lt; 1"</formula>
    </cfRule>
    <cfRule type="cellIs" priority="2" dxfId="1" operator="equal" stopIfTrue="1">
      <formula>"DA=0 : pas d'intersection possible"</formula>
    </cfRule>
    <cfRule type="cellIs" priority="3" dxfId="2" operator="equal" stopIfTrue="1">
      <formula>"DA/DB &gt; 0 : intersection pour x &gt; 1"</formula>
    </cfRule>
  </conditionalFormatting>
  <hyperlinks>
    <hyperlink ref="J1" r:id="rId1" display="http://creativecommons.org/licenses/by-nc-sa/2.0/fr/"/>
    <hyperlink ref="B2" r:id="rId2" display="briere@univ-reunion.fr"/>
    <hyperlink ref="D2" r:id="rId3" display="http://www2.univ-reunion.fr"/>
  </hyperlinks>
  <printOptions/>
  <pageMargins left="0.75" right="0.75" top="1" bottom="1" header="0.4921259845" footer="0.4921259845"/>
  <pageSetup horizontalDpi="300" verticalDpi="300" orientation="portrait" paperSize="9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2:P106"/>
  <sheetViews>
    <sheetView workbookViewId="0" topLeftCell="E1">
      <selection activeCell="L2" sqref="L2"/>
    </sheetView>
  </sheetViews>
  <sheetFormatPr defaultColWidth="11.421875" defaultRowHeight="12.75"/>
  <cols>
    <col min="2" max="2" width="12.00390625" style="0" bestFit="1" customWidth="1"/>
  </cols>
  <sheetData>
    <row r="2" spans="2:5" ht="12.75">
      <c r="B2" t="str">
        <f>Feuil1!C13</f>
        <v>aA</v>
      </c>
      <c r="C2">
        <f>Feuil1!D13</f>
        <v>-1.72</v>
      </c>
      <c r="D2" t="str">
        <f>Feuil1!F13</f>
        <v>bA</v>
      </c>
      <c r="E2">
        <f>Feuil1!G13</f>
        <v>-1.19</v>
      </c>
    </row>
    <row r="3" spans="1:5" ht="12.75">
      <c r="A3" s="35">
        <f>Feuil1!H21</f>
        <v>2.0950395528933328</v>
      </c>
      <c r="B3" t="str">
        <f>Feuil1!C14</f>
        <v>aB</v>
      </c>
      <c r="C3">
        <f>Feuil1!D14</f>
        <v>-1.27</v>
      </c>
      <c r="D3" t="str">
        <f>Feuil1!F14</f>
        <v>bB</v>
      </c>
      <c r="E3">
        <f>Feuil1!G14</f>
        <v>-0.57</v>
      </c>
    </row>
    <row r="4" ht="12.75">
      <c r="A4">
        <f>Feuil1!H22</f>
        <v>41.564014478452386</v>
      </c>
    </row>
    <row r="5" spans="1:16" ht="12.75">
      <c r="A5" t="s">
        <v>56</v>
      </c>
      <c r="B5" t="s">
        <v>48</v>
      </c>
      <c r="C5" t="s">
        <v>59</v>
      </c>
      <c r="D5" t="s">
        <v>57</v>
      </c>
      <c r="E5" t="s">
        <v>58</v>
      </c>
      <c r="F5" t="s">
        <v>60</v>
      </c>
      <c r="G5" t="s">
        <v>61</v>
      </c>
      <c r="H5" t="s">
        <v>62</v>
      </c>
      <c r="I5" t="s">
        <v>51</v>
      </c>
      <c r="J5" t="s">
        <v>52</v>
      </c>
      <c r="K5" t="s">
        <v>64</v>
      </c>
      <c r="L5" t="s">
        <v>65</v>
      </c>
      <c r="M5" t="str">
        <f>A5</f>
        <v>x %</v>
      </c>
      <c r="N5" t="s">
        <v>63</v>
      </c>
      <c r="O5" t="s">
        <v>66</v>
      </c>
      <c r="P5" t="s">
        <v>67</v>
      </c>
    </row>
    <row r="6" spans="1:16" ht="12.75">
      <c r="A6" s="35">
        <f>A3+0.0001</f>
        <v>2.095139552893333</v>
      </c>
      <c r="B6">
        <f aca="true" t="shared" si="0" ref="B6:B69">A6/100</f>
        <v>0.02095139552893333</v>
      </c>
      <c r="C6">
        <f aca="true" t="shared" si="1" ref="C6:C69">LOG(B6)</f>
        <v>-1.6787870442809754</v>
      </c>
      <c r="D6">
        <f aca="true" t="shared" si="2" ref="D6:D69">$C$2*C6+$E$2</f>
        <v>1.6975137161632778</v>
      </c>
      <c r="E6">
        <f>$C$3*C6+$E$3</f>
        <v>1.562059546236839</v>
      </c>
      <c r="F6">
        <f>10^D6</f>
        <v>49.83261941753545</v>
      </c>
      <c r="G6">
        <f>10^E6</f>
        <v>36.48039618691162</v>
      </c>
      <c r="H6">
        <f>IF(G6&gt;F6,G6/F6,F6/G6)</f>
        <v>1.3660109161702119</v>
      </c>
      <c r="I6">
        <f>Vmort*(1+F6)</f>
        <v>83.840076455549</v>
      </c>
      <c r="J6">
        <f>Vmort*(1+G6)</f>
        <v>61.81777209007913</v>
      </c>
      <c r="K6">
        <f>I6/Nvrai^0.5</f>
        <v>0.672645844740414</v>
      </c>
      <c r="L6">
        <f>J6/Nvrai^0.5</f>
        <v>0.4959617081163763</v>
      </c>
      <c r="M6">
        <f>A6</f>
        <v>2.095139552893333</v>
      </c>
      <c r="N6">
        <f>0.5*ABS((I6-J6))/(K6+L6)</f>
        <v>9.422455088380143</v>
      </c>
      <c r="O6">
        <f>Feuil1!$I$16</f>
        <v>1.5</v>
      </c>
      <c r="P6">
        <f>0.25*Nvrai^0.5*(H6-1)/H6*MAX(F6:G6)/(1+MAX(F6:G6))</f>
        <v>8.184955180228854</v>
      </c>
    </row>
    <row r="7" spans="1:16" ht="12.75">
      <c r="A7" s="35">
        <f>A6+($A$4-$A$3)/100</f>
        <v>2.4898293021489235</v>
      </c>
      <c r="B7">
        <f t="shared" si="0"/>
        <v>0.024898293021489236</v>
      </c>
      <c r="C7">
        <f t="shared" si="1"/>
        <v>-1.6038304262680985</v>
      </c>
      <c r="D7">
        <f t="shared" si="2"/>
        <v>1.5685883331811294</v>
      </c>
      <c r="E7">
        <f aca="true" t="shared" si="3" ref="E7:E70">$C$3*C7+$E$3</f>
        <v>1.4668646413604853</v>
      </c>
      <c r="F7">
        <f aca="true" t="shared" si="4" ref="F7:F70">10^D7</f>
        <v>37.032952078972386</v>
      </c>
      <c r="G7">
        <f aca="true" t="shared" si="5" ref="G7:G70">10^E7</f>
        <v>29.29979902067039</v>
      </c>
      <c r="H7">
        <f aca="true" t="shared" si="6" ref="H7:H70">IF(G7&gt;F7,G7/F7,F7/G7)</f>
        <v>1.2639319489135887</v>
      </c>
      <c r="I7">
        <f aca="true" t="shared" si="7" ref="I7:I70">Vmort*(1+F7)</f>
        <v>62.72912249395696</v>
      </c>
      <c r="J7">
        <f aca="true" t="shared" si="8" ref="J7:J70">Vmort*(1+G7)</f>
        <v>49.97455365450729</v>
      </c>
      <c r="K7">
        <f aca="true" t="shared" si="9" ref="K7:K70">I7/Nvrai^0.5</f>
        <v>0.503273438832604</v>
      </c>
      <c r="L7">
        <f aca="true" t="shared" si="10" ref="L7:L70">J7/Nvrai^0.5</f>
        <v>0.40094400291110854</v>
      </c>
      <c r="M7">
        <f aca="true" t="shared" si="11" ref="M7:M70">A7</f>
        <v>2.4898293021489235</v>
      </c>
      <c r="N7">
        <f aca="true" t="shared" si="12" ref="N7:N70">0.5*ABS((I7-J7))/(K7+L7)</f>
        <v>7.05282172773259</v>
      </c>
      <c r="O7">
        <f>Feuil1!$I$16</f>
        <v>1.5</v>
      </c>
      <c r="P7">
        <f aca="true" t="shared" si="13" ref="P7:P70">0.25*Nvrai^0.5*(H7-1)/H7*MAX(F7:G7)/(1+MAX(F7:G7))</f>
        <v>6.335804681563983</v>
      </c>
    </row>
    <row r="8" spans="1:16" ht="12.75">
      <c r="A8" s="35">
        <f aca="true" t="shared" si="14" ref="A8:A71">A7+($A$4-$A$3)/100</f>
        <v>2.884519051404514</v>
      </c>
      <c r="B8">
        <f t="shared" si="0"/>
        <v>0.02884519051404514</v>
      </c>
      <c r="C8">
        <f t="shared" si="1"/>
        <v>-1.5399265883083595</v>
      </c>
      <c r="D8">
        <f t="shared" si="2"/>
        <v>1.4586737318903782</v>
      </c>
      <c r="E8">
        <f t="shared" si="3"/>
        <v>1.3857067671516168</v>
      </c>
      <c r="F8">
        <f t="shared" si="4"/>
        <v>28.752375519431133</v>
      </c>
      <c r="G8">
        <f t="shared" si="5"/>
        <v>24.305623548079332</v>
      </c>
      <c r="H8">
        <f t="shared" si="6"/>
        <v>1.182951569317101</v>
      </c>
      <c r="I8">
        <f t="shared" si="7"/>
        <v>49.07166828831207</v>
      </c>
      <c r="J8">
        <f t="shared" si="8"/>
        <v>41.73747954240633</v>
      </c>
      <c r="K8">
        <f t="shared" si="9"/>
        <v>0.39370018688035696</v>
      </c>
      <c r="L8">
        <f t="shared" si="10"/>
        <v>0.3348582607629471</v>
      </c>
      <c r="M8">
        <f t="shared" si="11"/>
        <v>2.884519051404514</v>
      </c>
      <c r="N8">
        <f t="shared" si="12"/>
        <v>5.033356465517573</v>
      </c>
      <c r="O8">
        <f>Feuil1!$I$16</f>
        <v>1.5</v>
      </c>
      <c r="P8">
        <f t="shared" si="13"/>
        <v>4.657216957414449</v>
      </c>
    </row>
    <row r="9" spans="1:16" ht="12.75">
      <c r="A9" s="35">
        <f t="shared" si="14"/>
        <v>3.2792088006601046</v>
      </c>
      <c r="B9">
        <f t="shared" si="0"/>
        <v>0.03279208800660104</v>
      </c>
      <c r="C9">
        <f t="shared" si="1"/>
        <v>-1.484230929141118</v>
      </c>
      <c r="D9">
        <f t="shared" si="2"/>
        <v>1.3628771981227228</v>
      </c>
      <c r="E9">
        <f t="shared" si="3"/>
        <v>1.31497328000922</v>
      </c>
      <c r="F9">
        <f t="shared" si="4"/>
        <v>23.06095021005802</v>
      </c>
      <c r="G9">
        <f t="shared" si="5"/>
        <v>20.652530870970992</v>
      </c>
      <c r="H9">
        <f t="shared" si="6"/>
        <v>1.1166161839502335</v>
      </c>
      <c r="I9">
        <f t="shared" si="7"/>
        <v>39.68459481961174</v>
      </c>
      <c r="J9">
        <f t="shared" si="8"/>
        <v>35.71230175583106</v>
      </c>
      <c r="K9">
        <f t="shared" si="9"/>
        <v>0.3183880422600934</v>
      </c>
      <c r="L9">
        <f t="shared" si="10"/>
        <v>0.286518481348375</v>
      </c>
      <c r="M9">
        <f t="shared" si="11"/>
        <v>3.2792088006601046</v>
      </c>
      <c r="N9">
        <f t="shared" si="12"/>
        <v>3.2833941350844054</v>
      </c>
      <c r="O9">
        <f>Feuil1!$I$16</f>
        <v>1.5</v>
      </c>
      <c r="P9">
        <f t="shared" si="13"/>
        <v>3.119065838326688</v>
      </c>
    </row>
    <row r="10" spans="1:16" ht="12.75">
      <c r="A10" s="35">
        <f t="shared" si="14"/>
        <v>3.673898549915695</v>
      </c>
      <c r="B10">
        <f t="shared" si="0"/>
        <v>0.036738985499156954</v>
      </c>
      <c r="C10">
        <f t="shared" si="1"/>
        <v>-1.4348728403601279</v>
      </c>
      <c r="D10">
        <f t="shared" si="2"/>
        <v>1.2779812854194201</v>
      </c>
      <c r="E10">
        <f t="shared" si="3"/>
        <v>1.2522885072573624</v>
      </c>
      <c r="F10">
        <f t="shared" si="4"/>
        <v>18.96624190283188</v>
      </c>
      <c r="G10">
        <f t="shared" si="5"/>
        <v>17.8767475518274</v>
      </c>
      <c r="H10">
        <f t="shared" si="6"/>
        <v>1.0609447746490726</v>
      </c>
      <c r="I10">
        <f t="shared" si="7"/>
        <v>32.93104441290999</v>
      </c>
      <c r="J10">
        <f t="shared" si="8"/>
        <v>31.134102002057286</v>
      </c>
      <c r="K10">
        <f t="shared" si="9"/>
        <v>0.2642045561474421</v>
      </c>
      <c r="L10">
        <f t="shared" si="10"/>
        <v>0.24978775338440148</v>
      </c>
      <c r="M10">
        <f t="shared" si="11"/>
        <v>3.673898549915695</v>
      </c>
      <c r="N10">
        <f t="shared" si="12"/>
        <v>1.74802460808159</v>
      </c>
      <c r="O10">
        <f>Feuil1!$I$16</f>
        <v>1.5</v>
      </c>
      <c r="P10">
        <f t="shared" si="13"/>
        <v>1.7003325350016922</v>
      </c>
    </row>
    <row r="11" spans="1:16" ht="12.75">
      <c r="A11" s="35">
        <f t="shared" si="14"/>
        <v>4.068588299171285</v>
      </c>
      <c r="B11">
        <f t="shared" si="0"/>
        <v>0.04068588299171285</v>
      </c>
      <c r="C11">
        <f t="shared" si="1"/>
        <v>-1.3905562542224494</v>
      </c>
      <c r="D11">
        <f t="shared" si="2"/>
        <v>1.201756757262613</v>
      </c>
      <c r="E11">
        <f t="shared" si="3"/>
        <v>1.1960064428625108</v>
      </c>
      <c r="F11">
        <f t="shared" si="4"/>
        <v>15.913172011702914</v>
      </c>
      <c r="G11">
        <f t="shared" si="5"/>
        <v>15.703861012141516</v>
      </c>
      <c r="H11">
        <f t="shared" si="6"/>
        <v>1.013328632964821</v>
      </c>
      <c r="I11">
        <f t="shared" si="7"/>
        <v>27.895505893954844</v>
      </c>
      <c r="J11">
        <f t="shared" si="8"/>
        <v>27.550281697222594</v>
      </c>
      <c r="K11">
        <f t="shared" si="9"/>
        <v>0.22380461611874594</v>
      </c>
      <c r="L11">
        <f t="shared" si="10"/>
        <v>0.22103489510639796</v>
      </c>
      <c r="M11">
        <f t="shared" si="11"/>
        <v>4.068588299171285</v>
      </c>
      <c r="N11">
        <f t="shared" si="12"/>
        <v>0.38803229931336275</v>
      </c>
      <c r="O11">
        <f>Feuil1!$I$16</f>
        <v>1.5</v>
      </c>
      <c r="P11">
        <f t="shared" si="13"/>
        <v>0.38563122905950503</v>
      </c>
    </row>
    <row r="12" spans="1:16" ht="12.75">
      <c r="A12" s="35">
        <f t="shared" si="14"/>
        <v>4.463278048426876</v>
      </c>
      <c r="B12">
        <f t="shared" si="0"/>
        <v>0.044632780484268754</v>
      </c>
      <c r="C12">
        <f t="shared" si="1"/>
        <v>-1.3503460571128456</v>
      </c>
      <c r="D12">
        <f t="shared" si="2"/>
        <v>1.1325952182340946</v>
      </c>
      <c r="E12">
        <f t="shared" si="3"/>
        <v>1.144939492533314</v>
      </c>
      <c r="F12">
        <f t="shared" si="4"/>
        <v>13.570480278690571</v>
      </c>
      <c r="G12">
        <f t="shared" si="5"/>
        <v>13.96173827553656</v>
      </c>
      <c r="H12">
        <f t="shared" si="6"/>
        <v>1.028831551191329</v>
      </c>
      <c r="I12">
        <f t="shared" si="7"/>
        <v>24.03161974647486</v>
      </c>
      <c r="J12">
        <f t="shared" si="8"/>
        <v>24.67693570196341</v>
      </c>
      <c r="K12">
        <f t="shared" si="9"/>
        <v>0.19280479990280497</v>
      </c>
      <c r="L12">
        <f t="shared" si="10"/>
        <v>0.19798214604029568</v>
      </c>
      <c r="M12">
        <f t="shared" si="11"/>
        <v>4.463278048426876</v>
      </c>
      <c r="N12">
        <f t="shared" si="12"/>
        <v>0.825662118691278</v>
      </c>
      <c r="O12">
        <f>Feuil1!$I$16</f>
        <v>1.5</v>
      </c>
      <c r="P12">
        <f t="shared" si="13"/>
        <v>0.814866350823885</v>
      </c>
    </row>
    <row r="13" spans="1:16" ht="12.75">
      <c r="A13" s="35">
        <f t="shared" si="14"/>
        <v>4.857967797682466</v>
      </c>
      <c r="B13">
        <f t="shared" si="0"/>
        <v>0.048579677976824664</v>
      </c>
      <c r="C13">
        <f t="shared" si="1"/>
        <v>-1.3135453683565699</v>
      </c>
      <c r="D13">
        <f t="shared" si="2"/>
        <v>1.0692980335733</v>
      </c>
      <c r="E13">
        <f t="shared" si="3"/>
        <v>1.0982026178128437</v>
      </c>
      <c r="F13">
        <f t="shared" si="4"/>
        <v>11.73000057955988</v>
      </c>
      <c r="G13">
        <f t="shared" si="5"/>
        <v>12.53725957787475</v>
      </c>
      <c r="H13">
        <f t="shared" si="6"/>
        <v>1.068820030556653</v>
      </c>
      <c r="I13">
        <f t="shared" si="7"/>
        <v>20.996050057993042</v>
      </c>
      <c r="J13">
        <f t="shared" si="8"/>
        <v>22.327491500784422</v>
      </c>
      <c r="K13">
        <f t="shared" si="9"/>
        <v>0.16845053612228686</v>
      </c>
      <c r="L13">
        <f t="shared" si="10"/>
        <v>0.179132641767594</v>
      </c>
      <c r="M13">
        <f t="shared" si="11"/>
        <v>4.857967797682466</v>
      </c>
      <c r="N13">
        <f t="shared" si="12"/>
        <v>1.915284639024158</v>
      </c>
      <c r="O13">
        <f>Feuil1!$I$16</f>
        <v>1.5</v>
      </c>
      <c r="P13">
        <f t="shared" si="13"/>
        <v>1.8581781489590095</v>
      </c>
    </row>
    <row r="14" spans="1:16" ht="12.75">
      <c r="A14" s="35">
        <f t="shared" si="14"/>
        <v>5.252657546938057</v>
      </c>
      <c r="B14">
        <f t="shared" si="0"/>
        <v>0.05252657546938057</v>
      </c>
      <c r="C14">
        <f t="shared" si="1"/>
        <v>-1.2796209126031681</v>
      </c>
      <c r="D14">
        <f t="shared" si="2"/>
        <v>1.0109479696774493</v>
      </c>
      <c r="E14">
        <f t="shared" si="3"/>
        <v>1.0551185590060235</v>
      </c>
      <c r="F14">
        <f t="shared" si="4"/>
        <v>10.255290561569858</v>
      </c>
      <c r="G14">
        <f t="shared" si="5"/>
        <v>11.353207070688498</v>
      </c>
      <c r="H14">
        <f t="shared" si="6"/>
        <v>1.1070585472471073</v>
      </c>
      <c r="I14">
        <f t="shared" si="7"/>
        <v>18.56375752467936</v>
      </c>
      <c r="J14">
        <f t="shared" si="8"/>
        <v>20.37459090531295</v>
      </c>
      <c r="K14">
        <f t="shared" si="9"/>
        <v>0.14893634273299516</v>
      </c>
      <c r="L14">
        <f t="shared" si="10"/>
        <v>0.16346459223484547</v>
      </c>
      <c r="M14">
        <f t="shared" si="11"/>
        <v>5.252657546938057</v>
      </c>
      <c r="N14">
        <f t="shared" si="12"/>
        <v>2.8982521784385846</v>
      </c>
      <c r="O14">
        <f>Feuil1!$I$16</f>
        <v>1.5</v>
      </c>
      <c r="P14">
        <f t="shared" si="13"/>
        <v>2.7694581375029648</v>
      </c>
    </row>
    <row r="15" spans="1:16" ht="12.75">
      <c r="A15" s="35">
        <f t="shared" si="14"/>
        <v>5.647347296193647</v>
      </c>
      <c r="B15">
        <f t="shared" si="0"/>
        <v>0.05647347296193647</v>
      </c>
      <c r="C15">
        <f t="shared" si="1"/>
        <v>-1.2481555035359002</v>
      </c>
      <c r="D15">
        <f t="shared" si="2"/>
        <v>0.9568274660817484</v>
      </c>
      <c r="E15">
        <f t="shared" si="3"/>
        <v>1.0151574894905933</v>
      </c>
      <c r="F15">
        <f t="shared" si="4"/>
        <v>9.053728483242764</v>
      </c>
      <c r="G15">
        <f t="shared" si="5"/>
        <v>10.355176114105788</v>
      </c>
      <c r="H15">
        <f t="shared" si="6"/>
        <v>1.1437471460815098</v>
      </c>
      <c r="I15">
        <f t="shared" si="7"/>
        <v>16.58197776067451</v>
      </c>
      <c r="J15">
        <f t="shared" si="8"/>
        <v>18.728502376653847</v>
      </c>
      <c r="K15">
        <f t="shared" si="9"/>
        <v>0.13303659669500986</v>
      </c>
      <c r="L15">
        <f t="shared" si="10"/>
        <v>0.15025808461119786</v>
      </c>
      <c r="M15">
        <f t="shared" si="11"/>
        <v>5.647347296193647</v>
      </c>
      <c r="N15">
        <f t="shared" si="12"/>
        <v>3.7885014397061716</v>
      </c>
      <c r="O15">
        <f>Feuil1!$I$16</f>
        <v>1.5</v>
      </c>
      <c r="P15">
        <f t="shared" si="13"/>
        <v>3.571396210615893</v>
      </c>
    </row>
    <row r="16" spans="1:16" ht="12.75">
      <c r="A16" s="35">
        <f t="shared" si="14"/>
        <v>6.042037045449238</v>
      </c>
      <c r="B16">
        <f t="shared" si="0"/>
        <v>0.060420370454492375</v>
      </c>
      <c r="C16">
        <f t="shared" si="1"/>
        <v>-1.218816616271467</v>
      </c>
      <c r="D16">
        <f t="shared" si="2"/>
        <v>0.9063645799869233</v>
      </c>
      <c r="E16">
        <f t="shared" si="3"/>
        <v>0.9778971026647633</v>
      </c>
      <c r="F16">
        <f t="shared" si="4"/>
        <v>8.060548212910843</v>
      </c>
      <c r="G16">
        <f t="shared" si="5"/>
        <v>9.503795936652415</v>
      </c>
      <c r="H16">
        <f t="shared" si="6"/>
        <v>1.1790508146120724</v>
      </c>
      <c r="I16">
        <f t="shared" si="7"/>
        <v>14.943889644167838</v>
      </c>
      <c r="J16">
        <f t="shared" si="8"/>
        <v>17.32429027843161</v>
      </c>
      <c r="K16">
        <f t="shared" si="9"/>
        <v>0.11989427608332658</v>
      </c>
      <c r="L16">
        <f t="shared" si="10"/>
        <v>0.1389921426782347</v>
      </c>
      <c r="M16">
        <f t="shared" si="11"/>
        <v>6.042037045449238</v>
      </c>
      <c r="N16">
        <f t="shared" si="12"/>
        <v>4.597384145624423</v>
      </c>
      <c r="O16">
        <f>Feuil1!$I$16</f>
        <v>1.5</v>
      </c>
      <c r="P16">
        <f t="shared" si="13"/>
        <v>4.281538129414939</v>
      </c>
    </row>
    <row r="17" spans="1:16" ht="12.75">
      <c r="A17" s="35">
        <f t="shared" si="14"/>
        <v>6.436726794704828</v>
      </c>
      <c r="B17">
        <f t="shared" si="0"/>
        <v>0.06436726794704828</v>
      </c>
      <c r="C17">
        <f t="shared" si="1"/>
        <v>-1.1913349240029483</v>
      </c>
      <c r="D17">
        <f t="shared" si="2"/>
        <v>0.8590960692850711</v>
      </c>
      <c r="E17">
        <f t="shared" si="3"/>
        <v>0.9429953534837444</v>
      </c>
      <c r="F17">
        <f t="shared" si="4"/>
        <v>7.22929703535625</v>
      </c>
      <c r="G17">
        <f t="shared" si="5"/>
        <v>8.769914381628643</v>
      </c>
      <c r="H17">
        <f t="shared" si="6"/>
        <v>1.2131074900834358</v>
      </c>
      <c r="I17">
        <f t="shared" si="7"/>
        <v>13.572877033003817</v>
      </c>
      <c r="J17">
        <f t="shared" si="8"/>
        <v>16.11387290495105</v>
      </c>
      <c r="K17">
        <f t="shared" si="9"/>
        <v>0.10889469241196476</v>
      </c>
      <c r="L17">
        <f t="shared" si="10"/>
        <v>0.12928100868249015</v>
      </c>
      <c r="M17">
        <f t="shared" si="11"/>
        <v>6.436726794704828</v>
      </c>
      <c r="N17">
        <f t="shared" si="12"/>
        <v>5.334288637067002</v>
      </c>
      <c r="O17">
        <f>Feuil1!$I$16</f>
        <v>1.5</v>
      </c>
      <c r="P17">
        <f t="shared" si="13"/>
        <v>4.913706773026186</v>
      </c>
    </row>
    <row r="18" spans="1:16" ht="12.75">
      <c r="A18" s="35">
        <f t="shared" si="14"/>
        <v>6.831416543960419</v>
      </c>
      <c r="B18">
        <f t="shared" si="0"/>
        <v>0.06831416543960418</v>
      </c>
      <c r="C18">
        <f t="shared" si="1"/>
        <v>-1.165489232857536</v>
      </c>
      <c r="D18">
        <f t="shared" si="2"/>
        <v>0.814641480514962</v>
      </c>
      <c r="E18">
        <f t="shared" si="3"/>
        <v>0.9101713257290708</v>
      </c>
      <c r="F18">
        <f t="shared" si="4"/>
        <v>6.525916017428258</v>
      </c>
      <c r="G18">
        <f t="shared" si="5"/>
        <v>8.131512346131046</v>
      </c>
      <c r="H18">
        <f t="shared" si="6"/>
        <v>1.2460338632024754</v>
      </c>
      <c r="I18">
        <f t="shared" si="7"/>
        <v>12.412765297740345</v>
      </c>
      <c r="J18">
        <f t="shared" si="8"/>
        <v>15.060933353954141</v>
      </c>
      <c r="K18">
        <f t="shared" si="9"/>
        <v>0.09958715869837977</v>
      </c>
      <c r="L18">
        <f t="shared" si="10"/>
        <v>0.12083331345506014</v>
      </c>
      <c r="M18">
        <f t="shared" si="11"/>
        <v>6.831416543960419</v>
      </c>
      <c r="N18">
        <f t="shared" si="12"/>
        <v>6.007082804836621</v>
      </c>
      <c r="O18">
        <f>Feuil1!$I$16</f>
        <v>1.5</v>
      </c>
      <c r="P18">
        <f t="shared" si="13"/>
        <v>5.4789692935108745</v>
      </c>
    </row>
    <row r="19" spans="1:16" ht="12.75">
      <c r="A19" s="35">
        <f t="shared" si="14"/>
        <v>7.226106293216009</v>
      </c>
      <c r="B19">
        <f t="shared" si="0"/>
        <v>0.0722610629321601</v>
      </c>
      <c r="C19">
        <f t="shared" si="1"/>
        <v>-1.1410956544179194</v>
      </c>
      <c r="D19">
        <f t="shared" si="2"/>
        <v>0.7726845255988213</v>
      </c>
      <c r="E19">
        <f t="shared" si="3"/>
        <v>0.8791914811107576</v>
      </c>
      <c r="F19">
        <f t="shared" si="4"/>
        <v>5.924947760748519</v>
      </c>
      <c r="G19">
        <f t="shared" si="5"/>
        <v>7.571666573911706</v>
      </c>
      <c r="H19">
        <f t="shared" si="6"/>
        <v>1.277929676287163</v>
      </c>
      <c r="I19">
        <f t="shared" si="7"/>
        <v>11.421566631121834</v>
      </c>
      <c r="J19">
        <f t="shared" si="8"/>
        <v>14.137559487251659</v>
      </c>
      <c r="K19">
        <f t="shared" si="9"/>
        <v>0.09163480831178786</v>
      </c>
      <c r="L19">
        <f t="shared" si="10"/>
        <v>0.11342511893953372</v>
      </c>
      <c r="M19">
        <f t="shared" si="11"/>
        <v>7.226106293216009</v>
      </c>
      <c r="N19">
        <f t="shared" si="12"/>
        <v>6.622436895730247</v>
      </c>
      <c r="O19">
        <f>Feuil1!$I$16</f>
        <v>1.5</v>
      </c>
      <c r="P19">
        <f t="shared" si="13"/>
        <v>5.986312559164486</v>
      </c>
    </row>
    <row r="20" spans="1:16" ht="12.75">
      <c r="A20" s="35">
        <f t="shared" si="14"/>
        <v>7.6207960424716</v>
      </c>
      <c r="B20">
        <f t="shared" si="0"/>
        <v>0.076207960424716</v>
      </c>
      <c r="C20">
        <f t="shared" si="1"/>
        <v>-1.117999661364344</v>
      </c>
      <c r="D20">
        <f t="shared" si="2"/>
        <v>0.7329594175466716</v>
      </c>
      <c r="E20">
        <f t="shared" si="3"/>
        <v>0.8498595699327168</v>
      </c>
      <c r="F20">
        <f t="shared" si="4"/>
        <v>5.407037947609213</v>
      </c>
      <c r="G20">
        <f t="shared" si="5"/>
        <v>7.077169055779899</v>
      </c>
      <c r="H20">
        <f t="shared" si="6"/>
        <v>1.308880966686974</v>
      </c>
      <c r="I20">
        <f t="shared" si="7"/>
        <v>10.567359257427068</v>
      </c>
      <c r="J20">
        <f t="shared" si="8"/>
        <v>13.321966857906492</v>
      </c>
      <c r="K20">
        <f t="shared" si="9"/>
        <v>0.08478153402157365</v>
      </c>
      <c r="L20">
        <f t="shared" si="10"/>
        <v>0.10688164932067193</v>
      </c>
      <c r="M20">
        <f t="shared" si="11"/>
        <v>7.6207960424716</v>
      </c>
      <c r="N20">
        <f t="shared" si="12"/>
        <v>7.186063469374365</v>
      </c>
      <c r="O20">
        <f>Feuil1!$I$16</f>
        <v>1.5</v>
      </c>
      <c r="P20">
        <f t="shared" si="13"/>
        <v>6.4431256861851605</v>
      </c>
    </row>
    <row r="21" spans="1:16" ht="12.75">
      <c r="A21" s="35">
        <f t="shared" si="14"/>
        <v>8.01548579172719</v>
      </c>
      <c r="B21">
        <f t="shared" si="0"/>
        <v>0.08015485791727191</v>
      </c>
      <c r="C21">
        <f t="shared" si="1"/>
        <v>-1.096070151379325</v>
      </c>
      <c r="D21">
        <f t="shared" si="2"/>
        <v>0.695240660372439</v>
      </c>
      <c r="E21">
        <f t="shared" si="3"/>
        <v>0.8220090922517428</v>
      </c>
      <c r="F21">
        <f t="shared" si="4"/>
        <v>4.957248161456138</v>
      </c>
      <c r="G21">
        <f t="shared" si="5"/>
        <v>6.637569664621012</v>
      </c>
      <c r="H21">
        <f t="shared" si="6"/>
        <v>1.338962555118745</v>
      </c>
      <c r="I21">
        <f t="shared" si="7"/>
        <v>9.825504706312</v>
      </c>
      <c r="J21">
        <f t="shared" si="8"/>
        <v>12.596919693568156</v>
      </c>
      <c r="K21">
        <f t="shared" si="9"/>
        <v>0.07882966228784638</v>
      </c>
      <c r="L21">
        <f t="shared" si="10"/>
        <v>0.10106462263187144</v>
      </c>
      <c r="M21">
        <f t="shared" si="11"/>
        <v>8.01548579172719</v>
      </c>
      <c r="N21">
        <f t="shared" si="12"/>
        <v>7.702898923367596</v>
      </c>
      <c r="O21">
        <f>Feuil1!$I$16</f>
        <v>1.5</v>
      </c>
      <c r="P21">
        <f t="shared" si="13"/>
        <v>6.855551713063465</v>
      </c>
    </row>
    <row r="22" spans="1:16" ht="12.75">
      <c r="A22" s="35">
        <f t="shared" si="14"/>
        <v>8.410175540982781</v>
      </c>
      <c r="B22">
        <f t="shared" si="0"/>
        <v>0.08410175540982781</v>
      </c>
      <c r="C22">
        <f t="shared" si="1"/>
        <v>-1.0751949393168865</v>
      </c>
      <c r="D22">
        <f t="shared" si="2"/>
        <v>0.6593352956250447</v>
      </c>
      <c r="E22">
        <f t="shared" si="3"/>
        <v>0.7954975729324459</v>
      </c>
      <c r="F22">
        <f t="shared" si="4"/>
        <v>4.563891336977517</v>
      </c>
      <c r="G22">
        <f t="shared" si="5"/>
        <v>6.2444986051424065</v>
      </c>
      <c r="H22">
        <f t="shared" si="6"/>
        <v>1.368239982961095</v>
      </c>
      <c r="I22">
        <f t="shared" si="7"/>
        <v>9.17672707855074</v>
      </c>
      <c r="J22">
        <f t="shared" si="8"/>
        <v>11.948613388349866</v>
      </c>
      <c r="K22">
        <f t="shared" si="9"/>
        <v>0.07362454328123948</v>
      </c>
      <c r="L22">
        <f t="shared" si="10"/>
        <v>0.09586328502866329</v>
      </c>
      <c r="M22">
        <f t="shared" si="11"/>
        <v>8.410175540982781</v>
      </c>
      <c r="N22">
        <f t="shared" si="12"/>
        <v>8.177242983876177</v>
      </c>
      <c r="O22">
        <f>Feuil1!$I$16</f>
        <v>1.5</v>
      </c>
      <c r="P22">
        <f t="shared" si="13"/>
        <v>7.228748495762288</v>
      </c>
    </row>
    <row r="23" spans="1:16" ht="12.75">
      <c r="A23" s="35">
        <f t="shared" si="14"/>
        <v>8.804865290238372</v>
      </c>
      <c r="B23">
        <f t="shared" si="0"/>
        <v>0.08804865290238371</v>
      </c>
      <c r="C23">
        <f t="shared" si="1"/>
        <v>-1.055277284120744</v>
      </c>
      <c r="D23">
        <f t="shared" si="2"/>
        <v>0.6250769286876798</v>
      </c>
      <c r="E23">
        <f t="shared" si="3"/>
        <v>0.7702021508333451</v>
      </c>
      <c r="F23">
        <f t="shared" si="4"/>
        <v>4.217712071913659</v>
      </c>
      <c r="G23">
        <f t="shared" si="5"/>
        <v>5.891178079145918</v>
      </c>
      <c r="H23">
        <f t="shared" si="6"/>
        <v>1.3967710404833242</v>
      </c>
      <c r="I23">
        <f t="shared" si="7"/>
        <v>8.605761104677132</v>
      </c>
      <c r="J23">
        <f t="shared" si="8"/>
        <v>11.365869074712515</v>
      </c>
      <c r="K23">
        <f t="shared" si="9"/>
        <v>0.0690437043071974</v>
      </c>
      <c r="L23">
        <f t="shared" si="10"/>
        <v>0.09118794886860991</v>
      </c>
      <c r="M23">
        <f t="shared" si="11"/>
        <v>8.804865290238372</v>
      </c>
      <c r="N23">
        <f t="shared" si="12"/>
        <v>8.612867418296474</v>
      </c>
      <c r="O23">
        <f>Feuil1!$I$16</f>
        <v>1.5</v>
      </c>
      <c r="P23">
        <f t="shared" si="13"/>
        <v>7.567085355797243</v>
      </c>
    </row>
    <row r="24" spans="1:16" ht="12.75">
      <c r="A24" s="35">
        <f t="shared" si="14"/>
        <v>9.199555039493962</v>
      </c>
      <c r="B24">
        <f t="shared" si="0"/>
        <v>0.09199555039493962</v>
      </c>
      <c r="C24">
        <f t="shared" si="1"/>
        <v>-1.036233177933329</v>
      </c>
      <c r="D24">
        <f t="shared" si="2"/>
        <v>0.5923210660453258</v>
      </c>
      <c r="E24">
        <f t="shared" si="3"/>
        <v>0.7460161359753278</v>
      </c>
      <c r="F24">
        <f t="shared" si="4"/>
        <v>3.911299442194368</v>
      </c>
      <c r="G24">
        <f t="shared" si="5"/>
        <v>5.572064512500514</v>
      </c>
      <c r="H24">
        <f t="shared" si="6"/>
        <v>1.4246069867190743</v>
      </c>
      <c r="I24">
        <f t="shared" si="7"/>
        <v>8.100383679768175</v>
      </c>
      <c r="J24">
        <f t="shared" si="8"/>
        <v>10.839543535479645</v>
      </c>
      <c r="K24">
        <f t="shared" si="9"/>
        <v>0.06498907984522125</v>
      </c>
      <c r="L24">
        <f t="shared" si="10"/>
        <v>0.08696525845714004</v>
      </c>
      <c r="M24">
        <f t="shared" si="11"/>
        <v>9.199555039493962</v>
      </c>
      <c r="N24">
        <f t="shared" si="12"/>
        <v>9.01310185123193</v>
      </c>
      <c r="O24">
        <f>Feuil1!$I$16</f>
        <v>1.5</v>
      </c>
      <c r="P24">
        <f t="shared" si="13"/>
        <v>7.8742934371357025</v>
      </c>
    </row>
    <row r="25" spans="1:16" ht="12.75">
      <c r="A25" s="35">
        <f t="shared" si="14"/>
        <v>9.594244788749553</v>
      </c>
      <c r="B25">
        <f t="shared" si="0"/>
        <v>0.09594244788749552</v>
      </c>
      <c r="C25">
        <f t="shared" si="1"/>
        <v>-1.0179892050855748</v>
      </c>
      <c r="D25">
        <f t="shared" si="2"/>
        <v>0.5609414327471887</v>
      </c>
      <c r="E25">
        <f t="shared" si="3"/>
        <v>0.72284629045868</v>
      </c>
      <c r="F25">
        <f t="shared" si="4"/>
        <v>3.6386596327975567</v>
      </c>
      <c r="G25">
        <f t="shared" si="5"/>
        <v>5.282582526121203</v>
      </c>
      <c r="H25">
        <f t="shared" si="6"/>
        <v>1.4517935336699048</v>
      </c>
      <c r="I25">
        <f t="shared" si="7"/>
        <v>7.650708988072675</v>
      </c>
      <c r="J25">
        <f t="shared" si="8"/>
        <v>10.362090432557837</v>
      </c>
      <c r="K25">
        <f t="shared" si="9"/>
        <v>0.061381356359731916</v>
      </c>
      <c r="L25">
        <f t="shared" si="10"/>
        <v>0.08313466980173673</v>
      </c>
      <c r="M25">
        <f t="shared" si="11"/>
        <v>9.594244788749553</v>
      </c>
      <c r="N25">
        <f t="shared" si="12"/>
        <v>9.380902300260177</v>
      </c>
      <c r="O25">
        <f>Feuil1!$I$16</f>
        <v>1.5</v>
      </c>
      <c r="P25">
        <f t="shared" si="13"/>
        <v>8.153582166596038</v>
      </c>
    </row>
    <row r="26" spans="1:16" ht="12.75">
      <c r="A26" s="35">
        <f t="shared" si="14"/>
        <v>9.988934538005143</v>
      </c>
      <c r="B26">
        <f t="shared" si="0"/>
        <v>0.09988934538005143</v>
      </c>
      <c r="C26">
        <f t="shared" si="1"/>
        <v>-1.0004808329894561</v>
      </c>
      <c r="D26">
        <f t="shared" si="2"/>
        <v>0.5308270327418645</v>
      </c>
      <c r="E26">
        <f t="shared" si="3"/>
        <v>0.7006106578966093</v>
      </c>
      <c r="F26">
        <f t="shared" si="4"/>
        <v>3.3949003634370696</v>
      </c>
      <c r="G26">
        <f t="shared" si="5"/>
        <v>5.018924445509789</v>
      </c>
      <c r="H26">
        <f t="shared" si="6"/>
        <v>1.4783716481235765</v>
      </c>
      <c r="I26">
        <f t="shared" si="7"/>
        <v>7.24866801489233</v>
      </c>
      <c r="J26">
        <f t="shared" si="8"/>
        <v>9.927229630775926</v>
      </c>
      <c r="K26">
        <f t="shared" si="9"/>
        <v>0.05815579644306688</v>
      </c>
      <c r="L26">
        <f t="shared" si="10"/>
        <v>0.07964579760928148</v>
      </c>
      <c r="M26">
        <f t="shared" si="11"/>
        <v>9.988934538005143</v>
      </c>
      <c r="N26">
        <f t="shared" si="12"/>
        <v>9.718906498520106</v>
      </c>
      <c r="O26">
        <f>Feuil1!$I$16</f>
        <v>1.5</v>
      </c>
      <c r="P26">
        <f t="shared" si="13"/>
        <v>8.407730527804555</v>
      </c>
    </row>
    <row r="27" spans="1:16" ht="12.75">
      <c r="A27" s="35">
        <f t="shared" si="14"/>
        <v>10.383624287260734</v>
      </c>
      <c r="B27">
        <f t="shared" si="0"/>
        <v>0.10383624287260734</v>
      </c>
      <c r="C27">
        <f t="shared" si="1"/>
        <v>-0.9836510344228868</v>
      </c>
      <c r="D27">
        <f t="shared" si="2"/>
        <v>0.5018797792073653</v>
      </c>
      <c r="E27">
        <f t="shared" si="3"/>
        <v>0.6792368137170662</v>
      </c>
      <c r="F27">
        <f t="shared" si="4"/>
        <v>3.175994774509689</v>
      </c>
      <c r="G27">
        <f t="shared" si="5"/>
        <v>4.777897336093094</v>
      </c>
      <c r="H27">
        <f t="shared" si="6"/>
        <v>1.504378210707449</v>
      </c>
      <c r="I27">
        <f t="shared" si="7"/>
        <v>6.887619115140228</v>
      </c>
      <c r="J27">
        <f t="shared" si="8"/>
        <v>9.529694907739703</v>
      </c>
      <c r="K27">
        <f t="shared" si="9"/>
        <v>0.055259114421371554</v>
      </c>
      <c r="L27">
        <f t="shared" si="10"/>
        <v>0.07645639117151279</v>
      </c>
      <c r="M27">
        <f t="shared" si="11"/>
        <v>10.383624287260734</v>
      </c>
      <c r="N27">
        <f t="shared" si="12"/>
        <v>10.029478992267588</v>
      </c>
      <c r="O27">
        <f>Feuil1!$I$16</f>
        <v>1.5</v>
      </c>
      <c r="P27">
        <f t="shared" si="13"/>
        <v>8.639159369530567</v>
      </c>
    </row>
    <row r="28" spans="1:16" ht="12.75">
      <c r="A28" s="35">
        <f t="shared" si="14"/>
        <v>10.778314036516324</v>
      </c>
      <c r="B28">
        <f t="shared" si="0"/>
        <v>0.10778314036516325</v>
      </c>
      <c r="C28">
        <f t="shared" si="1"/>
        <v>-0.9674491669694151</v>
      </c>
      <c r="D28">
        <f t="shared" si="2"/>
        <v>0.47401256718739404</v>
      </c>
      <c r="E28">
        <f t="shared" si="3"/>
        <v>0.6586604420511571</v>
      </c>
      <c r="F28">
        <f t="shared" si="4"/>
        <v>2.978602620060821</v>
      </c>
      <c r="G28">
        <f t="shared" si="5"/>
        <v>4.556804977925762</v>
      </c>
      <c r="H28">
        <f t="shared" si="6"/>
        <v>1.529846562020655</v>
      </c>
      <c r="I28">
        <f t="shared" si="7"/>
        <v>6.5620531004364935</v>
      </c>
      <c r="J28">
        <f t="shared" si="8"/>
        <v>9.165039290443453</v>
      </c>
      <c r="K28">
        <f t="shared" si="9"/>
        <v>0.05264711027923233</v>
      </c>
      <c r="L28">
        <f t="shared" si="10"/>
        <v>0.07353077258783199</v>
      </c>
      <c r="M28">
        <f t="shared" si="11"/>
        <v>10.778314036516324</v>
      </c>
      <c r="N28">
        <f t="shared" si="12"/>
        <v>10.314748238204928</v>
      </c>
      <c r="O28">
        <f>Feuil1!$I$16</f>
        <v>1.5</v>
      </c>
      <c r="P28">
        <f t="shared" si="13"/>
        <v>8.849989257551014</v>
      </c>
    </row>
    <row r="29" spans="1:16" ht="12.75">
      <c r="A29" s="35">
        <f t="shared" si="14"/>
        <v>11.173003785771915</v>
      </c>
      <c r="B29">
        <f t="shared" si="0"/>
        <v>0.11173003785771915</v>
      </c>
      <c r="C29">
        <f t="shared" si="1"/>
        <v>-0.9518300540810625</v>
      </c>
      <c r="D29">
        <f t="shared" si="2"/>
        <v>0.4471476930194276</v>
      </c>
      <c r="E29">
        <f t="shared" si="3"/>
        <v>0.6388241686829493</v>
      </c>
      <c r="F29">
        <f t="shared" si="4"/>
        <v>2.799933347163084</v>
      </c>
      <c r="G29">
        <f t="shared" si="5"/>
        <v>4.353355851763534</v>
      </c>
      <c r="H29">
        <f t="shared" si="6"/>
        <v>1.5548069585922075</v>
      </c>
      <c r="I29">
        <f t="shared" si="7"/>
        <v>6.267367410978669</v>
      </c>
      <c r="J29">
        <f t="shared" si="8"/>
        <v>8.82948329337493</v>
      </c>
      <c r="K29">
        <f t="shared" si="9"/>
        <v>0.050282857848912045</v>
      </c>
      <c r="L29">
        <f t="shared" si="10"/>
        <v>0.0708386191852103</v>
      </c>
      <c r="M29">
        <f t="shared" si="11"/>
        <v>11.173003785771915</v>
      </c>
      <c r="N29">
        <f t="shared" si="12"/>
        <v>10.57663737734333</v>
      </c>
      <c r="O29">
        <f>Feuil1!$I$16</f>
        <v>1.5</v>
      </c>
      <c r="P29">
        <f t="shared" si="13"/>
        <v>9.04208718304316</v>
      </c>
    </row>
    <row r="30" spans="1:16" ht="12.75">
      <c r="A30" s="35">
        <f t="shared" si="14"/>
        <v>11.567693535027505</v>
      </c>
      <c r="B30">
        <f t="shared" si="0"/>
        <v>0.11567693535027505</v>
      </c>
      <c r="C30">
        <f t="shared" si="1"/>
        <v>-0.9367532257384711</v>
      </c>
      <c r="D30">
        <f t="shared" si="2"/>
        <v>0.42121554827017027</v>
      </c>
      <c r="E30">
        <f t="shared" si="3"/>
        <v>0.6196765966878582</v>
      </c>
      <c r="F30">
        <f t="shared" si="4"/>
        <v>2.637640169922119</v>
      </c>
      <c r="G30">
        <f t="shared" si="5"/>
        <v>4.165590715488601</v>
      </c>
      <c r="H30">
        <f t="shared" si="6"/>
        <v>1.579286956192966</v>
      </c>
      <c r="I30">
        <f t="shared" si="7"/>
        <v>5.999691407970989</v>
      </c>
      <c r="J30">
        <f t="shared" si="8"/>
        <v>8.519795467696081</v>
      </c>
      <c r="K30">
        <f t="shared" si="9"/>
        <v>0.04813530313794635</v>
      </c>
      <c r="L30">
        <f t="shared" si="10"/>
        <v>0.06835400516866638</v>
      </c>
      <c r="M30">
        <f t="shared" si="11"/>
        <v>11.567693535027505</v>
      </c>
      <c r="N30">
        <f t="shared" si="12"/>
        <v>10.816889963377154</v>
      </c>
      <c r="O30">
        <f>Feuil1!$I$16</f>
        <v>1.5</v>
      </c>
      <c r="P30">
        <f t="shared" si="13"/>
        <v>9.217104592139956</v>
      </c>
    </row>
    <row r="31" spans="1:16" ht="12.75">
      <c r="A31" s="35">
        <f t="shared" si="14"/>
        <v>11.962383284283096</v>
      </c>
      <c r="B31">
        <f t="shared" si="0"/>
        <v>0.11962383284283096</v>
      </c>
      <c r="C31">
        <f t="shared" si="1"/>
        <v>-0.9221822865600602</v>
      </c>
      <c r="D31">
        <f t="shared" si="2"/>
        <v>0.39615353288330346</v>
      </c>
      <c r="E31">
        <f t="shared" si="3"/>
        <v>0.6011715039312765</v>
      </c>
      <c r="F31">
        <f t="shared" si="4"/>
        <v>2.48973734095908</v>
      </c>
      <c r="G31">
        <f t="shared" si="5"/>
        <v>3.991825093696121</v>
      </c>
      <c r="H31">
        <f t="shared" si="6"/>
        <v>1.6033117341439789</v>
      </c>
      <c r="I31">
        <f t="shared" si="7"/>
        <v>5.755749926490388</v>
      </c>
      <c r="J31">
        <f t="shared" si="8"/>
        <v>8.233197547239481</v>
      </c>
      <c r="K31">
        <f t="shared" si="9"/>
        <v>0.046178169618814324</v>
      </c>
      <c r="L31">
        <f t="shared" si="10"/>
        <v>0.06605464061109009</v>
      </c>
      <c r="M31">
        <f t="shared" si="11"/>
        <v>11.962383284283096</v>
      </c>
      <c r="N31">
        <f t="shared" si="12"/>
        <v>11.037091629774487</v>
      </c>
      <c r="O31">
        <f>Feuil1!$I$16</f>
        <v>1.5</v>
      </c>
      <c r="P31">
        <f t="shared" si="13"/>
        <v>9.376508591332595</v>
      </c>
    </row>
    <row r="32" spans="1:16" ht="12.75">
      <c r="A32" s="35">
        <f t="shared" si="14"/>
        <v>12.357073033538686</v>
      </c>
      <c r="B32">
        <f t="shared" si="0"/>
        <v>0.12357073033538686</v>
      </c>
      <c r="C32">
        <f t="shared" si="1"/>
        <v>-0.9080843865221789</v>
      </c>
      <c r="D32">
        <f t="shared" si="2"/>
        <v>0.37190514481814785</v>
      </c>
      <c r="E32">
        <f t="shared" si="3"/>
        <v>0.5832671708831673</v>
      </c>
      <c r="F32">
        <f t="shared" si="4"/>
        <v>2.354534968739393</v>
      </c>
      <c r="G32">
        <f t="shared" si="5"/>
        <v>3.830603233111915</v>
      </c>
      <c r="H32">
        <f t="shared" si="6"/>
        <v>1.6269043713386862</v>
      </c>
      <c r="I32">
        <f t="shared" si="7"/>
        <v>5.532755767350915</v>
      </c>
      <c r="J32">
        <f t="shared" si="8"/>
        <v>7.967288505514536</v>
      </c>
      <c r="K32">
        <f t="shared" si="9"/>
        <v>0.0443890956951273</v>
      </c>
      <c r="L32">
        <f t="shared" si="10"/>
        <v>0.06392126216540105</v>
      </c>
      <c r="M32">
        <f t="shared" si="11"/>
        <v>12.357073033538686</v>
      </c>
      <c r="N32">
        <f t="shared" si="12"/>
        <v>11.238688460888376</v>
      </c>
      <c r="O32">
        <f>Feuil1!$I$16</f>
        <v>1.5</v>
      </c>
      <c r="P32">
        <f t="shared" si="13"/>
        <v>9.521607739315614</v>
      </c>
    </row>
    <row r="33" spans="1:16" ht="12.75">
      <c r="A33" s="35">
        <f t="shared" si="14"/>
        <v>12.751762782794277</v>
      </c>
      <c r="B33">
        <f t="shared" si="0"/>
        <v>0.12751762782794276</v>
      </c>
      <c r="C33">
        <f t="shared" si="1"/>
        <v>-0.8944297749223745</v>
      </c>
      <c r="D33">
        <f t="shared" si="2"/>
        <v>0.34841921286648425</v>
      </c>
      <c r="E33">
        <f t="shared" si="3"/>
        <v>0.5659258141514157</v>
      </c>
      <c r="F33">
        <f t="shared" si="4"/>
        <v>2.2305872367235176</v>
      </c>
      <c r="G33">
        <f t="shared" si="5"/>
        <v>3.680660955056091</v>
      </c>
      <c r="H33">
        <f t="shared" si="6"/>
        <v>1.650086082471524</v>
      </c>
      <c r="I33">
        <f t="shared" si="7"/>
        <v>5.328324293077565</v>
      </c>
      <c r="J33">
        <f t="shared" si="8"/>
        <v>7.71998328693312</v>
      </c>
      <c r="K33">
        <f t="shared" si="9"/>
        <v>0.04274894950827319</v>
      </c>
      <c r="L33">
        <f t="shared" si="10"/>
        <v>0.06193714150742902</v>
      </c>
      <c r="M33">
        <f t="shared" si="11"/>
        <v>12.751762782794277</v>
      </c>
      <c r="N33">
        <f t="shared" si="12"/>
        <v>11.423002667550278</v>
      </c>
      <c r="O33">
        <f>Feuil1!$I$16</f>
        <v>1.5</v>
      </c>
      <c r="P33">
        <f t="shared" si="13"/>
        <v>9.653573508751162</v>
      </c>
    </row>
    <row r="34" spans="1:16" ht="12.75">
      <c r="A34" s="35">
        <f t="shared" si="14"/>
        <v>13.146452532049867</v>
      </c>
      <c r="B34">
        <f t="shared" si="0"/>
        <v>0.13146452532049868</v>
      </c>
      <c r="C34">
        <f t="shared" si="1"/>
        <v>-0.881191422353114</v>
      </c>
      <c r="D34">
        <f t="shared" si="2"/>
        <v>0.32564924644735616</v>
      </c>
      <c r="E34">
        <f t="shared" si="3"/>
        <v>0.5491131063884548</v>
      </c>
      <c r="F34">
        <f t="shared" si="4"/>
        <v>2.1166509529682926</v>
      </c>
      <c r="G34">
        <f t="shared" si="5"/>
        <v>3.5408954712509773</v>
      </c>
      <c r="H34">
        <f t="shared" si="6"/>
        <v>1.6728764212566036</v>
      </c>
      <c r="I34">
        <f t="shared" si="7"/>
        <v>5.1404050622656285</v>
      </c>
      <c r="J34">
        <f t="shared" si="8"/>
        <v>7.489463022930646</v>
      </c>
      <c r="K34">
        <f t="shared" si="9"/>
        <v>0.04124128044240012</v>
      </c>
      <c r="L34">
        <f t="shared" si="10"/>
        <v>0.060087685921687305</v>
      </c>
      <c r="M34">
        <f t="shared" si="11"/>
        <v>13.146452532049867</v>
      </c>
      <c r="N34">
        <f t="shared" si="12"/>
        <v>11.591246042245034</v>
      </c>
      <c r="O34">
        <f>Feuil1!$I$16</f>
        <v>1.5</v>
      </c>
      <c r="P34">
        <f t="shared" si="13"/>
        <v>9.77345825784738</v>
      </c>
    </row>
    <row r="35" spans="1:16" ht="12.75">
      <c r="A35" s="35">
        <f t="shared" si="14"/>
        <v>13.541142281305458</v>
      </c>
      <c r="B35">
        <f t="shared" si="0"/>
        <v>0.13541142281305457</v>
      </c>
      <c r="C35">
        <f t="shared" si="1"/>
        <v>-0.8683446986092843</v>
      </c>
      <c r="D35">
        <f t="shared" si="2"/>
        <v>0.3035528816079691</v>
      </c>
      <c r="E35">
        <f t="shared" si="3"/>
        <v>0.5327977672337912</v>
      </c>
      <c r="F35">
        <f t="shared" si="4"/>
        <v>2.011652130907724</v>
      </c>
      <c r="G35">
        <f t="shared" si="5"/>
        <v>3.41034069346929</v>
      </c>
      <c r="H35">
        <f t="shared" si="6"/>
        <v>1.6952934560959263</v>
      </c>
      <c r="I35">
        <f t="shared" si="7"/>
        <v>4.96722671005457</v>
      </c>
      <c r="J35">
        <f t="shared" si="8"/>
        <v>7.274134309276399</v>
      </c>
      <c r="K35">
        <f t="shared" si="9"/>
        <v>0.03985187690248899</v>
      </c>
      <c r="L35">
        <f t="shared" si="10"/>
        <v>0.05836011158473379</v>
      </c>
      <c r="M35">
        <f t="shared" si="11"/>
        <v>13.541142281305458</v>
      </c>
      <c r="N35">
        <f t="shared" si="12"/>
        <v>11.744531572751702</v>
      </c>
      <c r="O35">
        <f>Feuil1!$I$16</f>
        <v>1.5</v>
      </c>
      <c r="P35">
        <f t="shared" si="13"/>
        <v>9.882210368431188</v>
      </c>
    </row>
    <row r="36" spans="1:16" ht="12.75">
      <c r="A36" s="35">
        <f t="shared" si="14"/>
        <v>13.935832030561048</v>
      </c>
      <c r="B36">
        <f t="shared" si="0"/>
        <v>0.1393583203056105</v>
      </c>
      <c r="C36">
        <f t="shared" si="1"/>
        <v>-0.8558670968829166</v>
      </c>
      <c r="D36">
        <f t="shared" si="2"/>
        <v>0.28209140663861665</v>
      </c>
      <c r="E36">
        <f t="shared" si="3"/>
        <v>0.5169512130413042</v>
      </c>
      <c r="F36">
        <f t="shared" si="4"/>
        <v>1.9146588638606212</v>
      </c>
      <c r="G36">
        <f t="shared" si="5"/>
        <v>3.2881469103333503</v>
      </c>
      <c r="H36">
        <f t="shared" si="6"/>
        <v>1.7173539226216503</v>
      </c>
      <c r="I36">
        <f t="shared" si="7"/>
        <v>4.807252209073074</v>
      </c>
      <c r="J36">
        <f t="shared" si="8"/>
        <v>7.072595686283937</v>
      </c>
      <c r="K36">
        <f t="shared" si="9"/>
        <v>0.03856840737456368</v>
      </c>
      <c r="L36">
        <f t="shared" si="10"/>
        <v>0.056743174637133804</v>
      </c>
      <c r="M36">
        <f t="shared" si="11"/>
        <v>13.935832030561048</v>
      </c>
      <c r="N36">
        <f t="shared" si="12"/>
        <v>11.883883518651702</v>
      </c>
      <c r="O36">
        <f>Feuil1!$I$16</f>
        <v>1.5</v>
      </c>
      <c r="P36">
        <f t="shared" si="13"/>
        <v>9.980687068081227</v>
      </c>
    </row>
    <row r="37" spans="1:16" ht="12.75">
      <c r="A37" s="35">
        <f t="shared" si="14"/>
        <v>14.330521779816639</v>
      </c>
      <c r="B37">
        <f t="shared" si="0"/>
        <v>0.14330521779816638</v>
      </c>
      <c r="C37">
        <f t="shared" si="1"/>
        <v>-0.8437379964854416</v>
      </c>
      <c r="D37">
        <f t="shared" si="2"/>
        <v>0.2612293539549595</v>
      </c>
      <c r="E37">
        <f t="shared" si="3"/>
        <v>0.5015472555365109</v>
      </c>
      <c r="F37">
        <f t="shared" si="4"/>
        <v>1.8248591687874238</v>
      </c>
      <c r="G37">
        <f t="shared" si="5"/>
        <v>3.1735639602078676</v>
      </c>
      <c r="H37">
        <f t="shared" si="6"/>
        <v>1.7390733567218923</v>
      </c>
      <c r="I37">
        <f t="shared" si="7"/>
        <v>4.6591423263463785</v>
      </c>
      <c r="J37">
        <f t="shared" si="8"/>
        <v>6.883609885254984</v>
      </c>
      <c r="K37">
        <f t="shared" si="9"/>
        <v>0.03738012724180496</v>
      </c>
      <c r="L37">
        <f t="shared" si="10"/>
        <v>0.05522694851770198</v>
      </c>
      <c r="M37">
        <f t="shared" si="11"/>
        <v>14.330521779816639</v>
      </c>
      <c r="N37">
        <f t="shared" si="12"/>
        <v>12.010246196982653</v>
      </c>
      <c r="O37">
        <f>Feuil1!$I$16</f>
        <v>1.5</v>
      </c>
      <c r="P37">
        <f t="shared" si="13"/>
        <v>10.069665347324019</v>
      </c>
    </row>
    <row r="38" spans="1:16" ht="12.75">
      <c r="A38" s="35">
        <f t="shared" si="14"/>
        <v>14.72521152907223</v>
      </c>
      <c r="B38">
        <f t="shared" si="0"/>
        <v>0.1472521152907223</v>
      </c>
      <c r="C38">
        <f t="shared" si="1"/>
        <v>-0.8319384578142736</v>
      </c>
      <c r="D38">
        <f t="shared" si="2"/>
        <v>0.24093414744055064</v>
      </c>
      <c r="E38">
        <f t="shared" si="3"/>
        <v>0.4865618414241274</v>
      </c>
      <c r="F38">
        <f t="shared" si="4"/>
        <v>1.7415427812843731</v>
      </c>
      <c r="G38">
        <f t="shared" si="5"/>
        <v>3.0659272214843125</v>
      </c>
      <c r="H38">
        <f t="shared" si="6"/>
        <v>1.7604662110127534</v>
      </c>
      <c r="I38">
        <f t="shared" si="7"/>
        <v>4.5217255971221855</v>
      </c>
      <c r="J38">
        <f t="shared" si="8"/>
        <v>6.706080721749084</v>
      </c>
      <c r="K38">
        <f t="shared" si="9"/>
        <v>0.03627763788566179</v>
      </c>
      <c r="L38">
        <f t="shared" si="10"/>
        <v>0.05380263857905591</v>
      </c>
      <c r="M38">
        <f t="shared" si="11"/>
        <v>14.72521152907223</v>
      </c>
      <c r="N38">
        <f t="shared" si="12"/>
        <v>12.124491677611903</v>
      </c>
      <c r="O38">
        <f>Feuil1!$I$16</f>
        <v>1.5</v>
      </c>
      <c r="P38">
        <f t="shared" si="13"/>
        <v>10.149851300588521</v>
      </c>
    </row>
    <row r="39" spans="1:16" ht="12.75">
      <c r="A39" s="35">
        <f t="shared" si="14"/>
        <v>15.11990127832782</v>
      </c>
      <c r="B39">
        <f t="shared" si="0"/>
        <v>0.15119901278327819</v>
      </c>
      <c r="C39">
        <f t="shared" si="1"/>
        <v>-0.8204510444444314</v>
      </c>
      <c r="D39">
        <f t="shared" si="2"/>
        <v>0.2211757964444221</v>
      </c>
      <c r="E39">
        <f t="shared" si="3"/>
        <v>0.47197282644442795</v>
      </c>
      <c r="F39">
        <f t="shared" si="4"/>
        <v>1.6640861132713285</v>
      </c>
      <c r="G39">
        <f t="shared" si="5"/>
        <v>2.9646458875355277</v>
      </c>
      <c r="H39">
        <f t="shared" si="6"/>
        <v>1.7815459572026027</v>
      </c>
      <c r="I39">
        <f t="shared" si="7"/>
        <v>4.39397351504149</v>
      </c>
      <c r="J39">
        <f t="shared" si="8"/>
        <v>6.539033757042464</v>
      </c>
      <c r="K39">
        <f t="shared" si="9"/>
        <v>0.03525268763750599</v>
      </c>
      <c r="L39">
        <f t="shared" si="10"/>
        <v>0.052462426935213004</v>
      </c>
      <c r="M39">
        <f t="shared" si="11"/>
        <v>15.11990127832782</v>
      </c>
      <c r="N39">
        <f t="shared" si="12"/>
        <v>12.227426552710261</v>
      </c>
      <c r="O39">
        <f>Feuil1!$I$16</f>
        <v>1.5</v>
      </c>
      <c r="P39">
        <f t="shared" si="13"/>
        <v>10.221888155545852</v>
      </c>
    </row>
    <row r="40" spans="1:16" ht="12.75">
      <c r="A40" s="35">
        <f t="shared" si="14"/>
        <v>15.51459102758341</v>
      </c>
      <c r="B40">
        <f t="shared" si="0"/>
        <v>0.1551459102758341</v>
      </c>
      <c r="C40">
        <f t="shared" si="1"/>
        <v>-0.8092596681497322</v>
      </c>
      <c r="D40">
        <f t="shared" si="2"/>
        <v>0.20192662921753946</v>
      </c>
      <c r="E40">
        <f t="shared" si="3"/>
        <v>0.4577597785501598</v>
      </c>
      <c r="F40">
        <f t="shared" si="4"/>
        <v>1.591939758096918</v>
      </c>
      <c r="G40">
        <f t="shared" si="5"/>
        <v>2.869193105296902</v>
      </c>
      <c r="H40">
        <f t="shared" si="6"/>
        <v>1.8023251763790828</v>
      </c>
      <c r="I40">
        <f t="shared" si="7"/>
        <v>4.274979923856906</v>
      </c>
      <c r="J40">
        <f t="shared" si="8"/>
        <v>6.381600033333538</v>
      </c>
      <c r="K40">
        <f t="shared" si="9"/>
        <v>0.03429800643914751</v>
      </c>
      <c r="L40">
        <f t="shared" si="10"/>
        <v>0.05119934196974348</v>
      </c>
      <c r="M40">
        <f t="shared" si="11"/>
        <v>15.51459102758341</v>
      </c>
      <c r="N40">
        <f t="shared" si="12"/>
        <v>12.31979791584719</v>
      </c>
      <c r="O40">
        <f>Feuil1!$I$16</f>
        <v>1.5</v>
      </c>
      <c r="P40">
        <f t="shared" si="13"/>
        <v>10.286363205222202</v>
      </c>
    </row>
    <row r="41" spans="1:16" ht="12.75">
      <c r="A41" s="35">
        <f t="shared" si="14"/>
        <v>15.909280776839001</v>
      </c>
      <c r="B41">
        <f t="shared" si="0"/>
        <v>0.15909280776839002</v>
      </c>
      <c r="C41">
        <f t="shared" si="1"/>
        <v>-0.7983494533961841</v>
      </c>
      <c r="D41">
        <f t="shared" si="2"/>
        <v>0.18316105984143682</v>
      </c>
      <c r="E41">
        <f t="shared" si="3"/>
        <v>0.4439038058131538</v>
      </c>
      <c r="F41">
        <f t="shared" si="4"/>
        <v>1.5246180596584535</v>
      </c>
      <c r="G41">
        <f t="shared" si="5"/>
        <v>2.7790976425148513</v>
      </c>
      <c r="H41">
        <f t="shared" si="6"/>
        <v>1.8228156389131502</v>
      </c>
      <c r="I41">
        <f t="shared" si="7"/>
        <v>4.163943813405136</v>
      </c>
      <c r="J41">
        <f t="shared" si="8"/>
        <v>6.233002330234661</v>
      </c>
      <c r="K41">
        <f t="shared" si="9"/>
        <v>0.033407167815555375</v>
      </c>
      <c r="L41">
        <f t="shared" si="10"/>
        <v>0.05000714807211</v>
      </c>
      <c r="M41">
        <f t="shared" si="11"/>
        <v>15.909280776839001</v>
      </c>
      <c r="N41">
        <f t="shared" si="12"/>
        <v>12.402298663073255</v>
      </c>
      <c r="O41">
        <f>Feuil1!$I$16</f>
        <v>1.5</v>
      </c>
      <c r="P41">
        <f t="shared" si="13"/>
        <v>10.343813817606412</v>
      </c>
    </row>
    <row r="42" spans="1:16" ht="12.75">
      <c r="A42" s="35">
        <f t="shared" si="14"/>
        <v>16.30397052609459</v>
      </c>
      <c r="B42">
        <f t="shared" si="0"/>
        <v>0.1630397052609459</v>
      </c>
      <c r="C42">
        <f t="shared" si="1"/>
        <v>-0.7877066184435154</v>
      </c>
      <c r="D42">
        <f t="shared" si="2"/>
        <v>0.16485538372284658</v>
      </c>
      <c r="E42">
        <f t="shared" si="3"/>
        <v>0.4303874054232647</v>
      </c>
      <c r="F42">
        <f t="shared" si="4"/>
        <v>1.4616903632584342</v>
      </c>
      <c r="G42">
        <f t="shared" si="5"/>
        <v>2.6939368155351766</v>
      </c>
      <c r="H42">
        <f t="shared" si="6"/>
        <v>1.843028375400786</v>
      </c>
      <c r="I42">
        <f t="shared" si="7"/>
        <v>4.06015488932838</v>
      </c>
      <c r="J42">
        <f t="shared" si="8"/>
        <v>6.092543500317848</v>
      </c>
      <c r="K42">
        <f t="shared" si="9"/>
        <v>0.03257447310126414</v>
      </c>
      <c r="L42">
        <f t="shared" si="10"/>
        <v>0.048880252054180715</v>
      </c>
      <c r="M42">
        <f t="shared" si="11"/>
        <v>16.30397052609459</v>
      </c>
      <c r="N42">
        <f t="shared" si="12"/>
        <v>12.475572209659667</v>
      </c>
      <c r="O42">
        <f>Feuil1!$I$16</f>
        <v>1.5</v>
      </c>
      <c r="P42">
        <f t="shared" si="13"/>
        <v>10.394732665948057</v>
      </c>
    </row>
    <row r="43" spans="1:16" ht="12.75">
      <c r="A43" s="35">
        <f t="shared" si="14"/>
        <v>16.698660275350182</v>
      </c>
      <c r="B43">
        <f t="shared" si="0"/>
        <v>0.16698660275350183</v>
      </c>
      <c r="C43">
        <f t="shared" si="1"/>
        <v>-0.7773183706705137</v>
      </c>
      <c r="D43">
        <f t="shared" si="2"/>
        <v>0.1469875975532835</v>
      </c>
      <c r="E43">
        <f t="shared" si="3"/>
        <v>0.41719433075155243</v>
      </c>
      <c r="F43">
        <f t="shared" si="4"/>
        <v>1.402773644016583</v>
      </c>
      <c r="G43">
        <f t="shared" si="5"/>
        <v>2.6133304617413815</v>
      </c>
      <c r="H43">
        <f t="shared" si="6"/>
        <v>1.862973739839161</v>
      </c>
      <c r="I43">
        <f t="shared" si="7"/>
        <v>3.962981414847879</v>
      </c>
      <c r="J43">
        <f t="shared" si="8"/>
        <v>5.959596527639443</v>
      </c>
      <c r="K43">
        <f t="shared" si="9"/>
        <v>0.03179485389537098</v>
      </c>
      <c r="L43">
        <f t="shared" si="10"/>
        <v>0.04781362339013889</v>
      </c>
      <c r="M43">
        <f t="shared" si="11"/>
        <v>16.698660275350182</v>
      </c>
      <c r="N43">
        <f t="shared" si="12"/>
        <v>12.540216700985578</v>
      </c>
      <c r="O43">
        <f>Feuil1!$I$16</f>
        <v>1.5</v>
      </c>
      <c r="P43">
        <f t="shared" si="13"/>
        <v>10.43957229773213</v>
      </c>
    </row>
    <row r="44" spans="1:16" ht="12.75">
      <c r="A44" s="35">
        <f t="shared" si="14"/>
        <v>17.093350024605773</v>
      </c>
      <c r="B44">
        <f t="shared" si="0"/>
        <v>0.17093350024605772</v>
      </c>
      <c r="C44">
        <f t="shared" si="1"/>
        <v>-0.7671728141298856</v>
      </c>
      <c r="D44">
        <f t="shared" si="2"/>
        <v>0.1295372403034032</v>
      </c>
      <c r="E44">
        <f t="shared" si="3"/>
        <v>0.40430947394495476</v>
      </c>
      <c r="F44">
        <f t="shared" si="4"/>
        <v>1.3475262693766876</v>
      </c>
      <c r="G44">
        <f t="shared" si="5"/>
        <v>2.536935781845367</v>
      </c>
      <c r="H44">
        <f t="shared" si="6"/>
        <v>1.8826614660498255</v>
      </c>
      <c r="I44">
        <f t="shared" si="7"/>
        <v>3.871859923040999</v>
      </c>
      <c r="J44">
        <f t="shared" si="8"/>
        <v>5.8335960209437445</v>
      </c>
      <c r="K44">
        <f t="shared" si="9"/>
        <v>0.031063789523513657</v>
      </c>
      <c r="L44">
        <f t="shared" si="10"/>
        <v>0.046802725966769015</v>
      </c>
      <c r="M44">
        <f t="shared" si="11"/>
        <v>17.093350024605773</v>
      </c>
      <c r="N44">
        <f t="shared" si="12"/>
        <v>12.596788783668892</v>
      </c>
      <c r="O44">
        <f>Feuil1!$I$16</f>
        <v>1.5</v>
      </c>
      <c r="P44">
        <f t="shared" si="13"/>
        <v>10.478749140037388</v>
      </c>
    </row>
    <row r="45" spans="1:16" ht="12.75">
      <c r="A45" s="35">
        <f t="shared" si="14"/>
        <v>17.488039773861363</v>
      </c>
      <c r="B45">
        <f t="shared" si="0"/>
        <v>0.17488039773861364</v>
      </c>
      <c r="C45">
        <f t="shared" si="1"/>
        <v>-0.7572588676571314</v>
      </c>
      <c r="D45">
        <f t="shared" si="2"/>
        <v>0.11248525237026596</v>
      </c>
      <c r="E45">
        <f t="shared" si="3"/>
        <v>0.3917187619245569</v>
      </c>
      <c r="F45">
        <f t="shared" si="4"/>
        <v>1.2956426997596697</v>
      </c>
      <c r="G45">
        <f t="shared" si="5"/>
        <v>2.464442909755437</v>
      </c>
      <c r="H45">
        <f t="shared" si="6"/>
        <v>1.902100718209248</v>
      </c>
      <c r="I45">
        <f t="shared" si="7"/>
        <v>3.786286476436809</v>
      </c>
      <c r="J45">
        <f t="shared" si="8"/>
        <v>5.714030906886187</v>
      </c>
      <c r="K45">
        <f t="shared" si="9"/>
        <v>0.030377236913927932</v>
      </c>
      <c r="L45">
        <f t="shared" si="10"/>
        <v>0.04584345946145553</v>
      </c>
      <c r="M45">
        <f t="shared" si="11"/>
        <v>17.488039773861363</v>
      </c>
      <c r="N45">
        <f t="shared" si="12"/>
        <v>12.645806992862699</v>
      </c>
      <c r="O45">
        <f>Feuil1!$I$16</f>
        <v>1.5</v>
      </c>
      <c r="P45">
        <f t="shared" si="13"/>
        <v>10.512647022582332</v>
      </c>
    </row>
    <row r="46" spans="1:16" ht="12.75">
      <c r="A46" s="35">
        <f t="shared" si="14"/>
        <v>17.882729523116954</v>
      </c>
      <c r="B46">
        <f t="shared" si="0"/>
        <v>0.17882729523116953</v>
      </c>
      <c r="C46">
        <f t="shared" si="1"/>
        <v>-0.7475661921197706</v>
      </c>
      <c r="D46">
        <f t="shared" si="2"/>
        <v>0.09581385044600554</v>
      </c>
      <c r="E46">
        <f t="shared" si="3"/>
        <v>0.3794090639921087</v>
      </c>
      <c r="F46">
        <f t="shared" si="4"/>
        <v>1.2468489688175246</v>
      </c>
      <c r="G46">
        <f t="shared" si="5"/>
        <v>2.3955710936355774</v>
      </c>
      <c r="H46">
        <f t="shared" si="6"/>
        <v>1.9213001362205622</v>
      </c>
      <c r="I46">
        <f t="shared" si="7"/>
        <v>3.7058092124355424</v>
      </c>
      <c r="J46">
        <f t="shared" si="8"/>
        <v>5.60043813131638</v>
      </c>
      <c r="K46">
        <f t="shared" si="9"/>
        <v>0.029731570789622453</v>
      </c>
      <c r="L46">
        <f t="shared" si="10"/>
        <v>0.04493210880780874</v>
      </c>
      <c r="M46">
        <f t="shared" si="11"/>
        <v>17.882729523116954</v>
      </c>
      <c r="N46">
        <f t="shared" si="12"/>
        <v>12.687754803247213</v>
      </c>
      <c r="O46">
        <f>Feuil1!$I$16</f>
        <v>1.5</v>
      </c>
      <c r="P46">
        <f t="shared" si="13"/>
        <v>10.541620286424049</v>
      </c>
    </row>
    <row r="47" spans="1:16" ht="12.75">
      <c r="A47" s="35">
        <f t="shared" si="14"/>
        <v>18.277419272372544</v>
      </c>
      <c r="B47">
        <f t="shared" si="0"/>
        <v>0.18277419272372544</v>
      </c>
      <c r="C47">
        <f t="shared" si="1"/>
        <v>-0.7380851256093541</v>
      </c>
      <c r="D47">
        <f t="shared" si="2"/>
        <v>0.07950641604808917</v>
      </c>
      <c r="E47">
        <f t="shared" si="3"/>
        <v>0.36736810952387977</v>
      </c>
      <c r="F47">
        <f t="shared" si="4"/>
        <v>1.2008988143582746</v>
      </c>
      <c r="G47">
        <f t="shared" si="5"/>
        <v>2.330065392492227</v>
      </c>
      <c r="H47">
        <f t="shared" si="6"/>
        <v>1.9402678765549004</v>
      </c>
      <c r="I47">
        <f t="shared" si="7"/>
        <v>3.6300219619032816</v>
      </c>
      <c r="J47">
        <f t="shared" si="8"/>
        <v>5.492397210839275</v>
      </c>
      <c r="K47">
        <f t="shared" si="9"/>
        <v>0.029123532470599046</v>
      </c>
      <c r="L47">
        <f t="shared" si="10"/>
        <v>0.04406530048304077</v>
      </c>
      <c r="M47">
        <f t="shared" si="11"/>
        <v>18.277419272372544</v>
      </c>
      <c r="N47">
        <f t="shared" si="12"/>
        <v>12.72308338428953</v>
      </c>
      <c r="O47">
        <f>Feuil1!$I$16</f>
        <v>1.5</v>
      </c>
      <c r="P47">
        <f t="shared" si="13"/>
        <v>10.565996535373444</v>
      </c>
    </row>
    <row r="48" spans="1:16" ht="12.75">
      <c r="A48" s="35">
        <f t="shared" si="14"/>
        <v>18.672109021628135</v>
      </c>
      <c r="B48">
        <f t="shared" si="0"/>
        <v>0.18672109021628136</v>
      </c>
      <c r="C48">
        <f t="shared" si="1"/>
        <v>-0.728806625557848</v>
      </c>
      <c r="D48">
        <f t="shared" si="2"/>
        <v>0.06354739595949854</v>
      </c>
      <c r="E48">
        <f t="shared" si="3"/>
        <v>0.3555844144584671</v>
      </c>
      <c r="F48">
        <f t="shared" si="4"/>
        <v>1.1575703545906486</v>
      </c>
      <c r="G48">
        <f t="shared" si="5"/>
        <v>2.26769380929852</v>
      </c>
      <c r="H48">
        <f t="shared" si="6"/>
        <v>1.9590116491022649</v>
      </c>
      <c r="I48">
        <f t="shared" si="7"/>
        <v>3.558558767182181</v>
      </c>
      <c r="J48">
        <f t="shared" si="8"/>
        <v>5.389525504373365</v>
      </c>
      <c r="K48">
        <f t="shared" si="9"/>
        <v>0.028550185892050668</v>
      </c>
      <c r="L48">
        <f t="shared" si="10"/>
        <v>0.04323996457185112</v>
      </c>
      <c r="M48">
        <f t="shared" si="11"/>
        <v>18.672109021628135</v>
      </c>
      <c r="N48">
        <f t="shared" si="12"/>
        <v>12.752214094549421</v>
      </c>
      <c r="O48">
        <f>Feuil1!$I$16</f>
        <v>1.5</v>
      </c>
      <c r="P48">
        <f t="shared" si="13"/>
        <v>10.58607907823732</v>
      </c>
    </row>
    <row r="49" spans="1:16" ht="12.75">
      <c r="A49" s="35">
        <f t="shared" si="14"/>
        <v>19.066798770883725</v>
      </c>
      <c r="B49">
        <f t="shared" si="0"/>
        <v>0.19066798770883725</v>
      </c>
      <c r="C49">
        <f t="shared" si="1"/>
        <v>-0.7197222169091337</v>
      </c>
      <c r="D49">
        <f t="shared" si="2"/>
        <v>0.04792221308371003</v>
      </c>
      <c r="E49">
        <f t="shared" si="3"/>
        <v>0.34404721547459993</v>
      </c>
      <c r="F49">
        <f t="shared" si="4"/>
        <v>1.1166632232080587</v>
      </c>
      <c r="G49">
        <f t="shared" si="5"/>
        <v>2.2082447951494446</v>
      </c>
      <c r="H49">
        <f t="shared" si="6"/>
        <v>1.9775387504975621</v>
      </c>
      <c r="I49">
        <f t="shared" si="7"/>
        <v>3.491089156880918</v>
      </c>
      <c r="J49">
        <f t="shared" si="8"/>
        <v>5.291474096663572</v>
      </c>
      <c r="K49">
        <f t="shared" si="9"/>
        <v>0.02800887969417928</v>
      </c>
      <c r="L49">
        <f t="shared" si="10"/>
        <v>0.04245330174000234</v>
      </c>
      <c r="M49">
        <f t="shared" si="11"/>
        <v>19.066798770883725</v>
      </c>
      <c r="N49">
        <f t="shared" si="12"/>
        <v>12.775540744962495</v>
      </c>
      <c r="O49">
        <f>Feuil1!$I$16</f>
        <v>1.5</v>
      </c>
      <c r="P49">
        <f t="shared" si="13"/>
        <v>10.602149102611559</v>
      </c>
    </row>
    <row r="50" spans="1:16" ht="12.75">
      <c r="A50" s="35">
        <f t="shared" si="14"/>
        <v>19.461488520139316</v>
      </c>
      <c r="B50">
        <f t="shared" si="0"/>
        <v>0.19461488520139317</v>
      </c>
      <c r="C50">
        <f t="shared" si="1"/>
        <v>-0.7108239456010768</v>
      </c>
      <c r="D50">
        <f t="shared" si="2"/>
        <v>0.03261718643385203</v>
      </c>
      <c r="E50">
        <f t="shared" si="3"/>
        <v>0.33274641091336754</v>
      </c>
      <c r="F50">
        <f t="shared" si="4"/>
        <v>1.0779960920104263</v>
      </c>
      <c r="G50">
        <f t="shared" si="5"/>
        <v>2.1515250698971187</v>
      </c>
      <c r="H50">
        <f t="shared" si="6"/>
        <v>1.9958560943246064</v>
      </c>
      <c r="I50">
        <f t="shared" si="7"/>
        <v>3.4273140598453344</v>
      </c>
      <c r="J50">
        <f t="shared" si="8"/>
        <v>5.197924203776245</v>
      </c>
      <c r="K50">
        <f t="shared" si="9"/>
        <v>0.027497214440132835</v>
      </c>
      <c r="L50">
        <f t="shared" si="10"/>
        <v>0.04170275439573872</v>
      </c>
      <c r="M50">
        <f t="shared" si="11"/>
        <v>19.461488520139316</v>
      </c>
      <c r="N50">
        <f t="shared" si="12"/>
        <v>12.793431656959578</v>
      </c>
      <c r="O50">
        <f>Feuil1!$I$16</f>
        <v>1.5</v>
      </c>
      <c r="P50">
        <f t="shared" si="13"/>
        <v>10.614467614828794</v>
      </c>
    </row>
    <row r="51" spans="1:16" ht="12.75">
      <c r="A51" s="35">
        <f t="shared" si="14"/>
        <v>19.856178269394906</v>
      </c>
      <c r="B51">
        <f t="shared" si="0"/>
        <v>0.19856178269394906</v>
      </c>
      <c r="C51">
        <f t="shared" si="1"/>
        <v>-0.7021043367182829</v>
      </c>
      <c r="D51">
        <f t="shared" si="2"/>
        <v>0.017619459155446604</v>
      </c>
      <c r="E51">
        <f t="shared" si="3"/>
        <v>0.32167250763221933</v>
      </c>
      <c r="F51">
        <f t="shared" si="4"/>
        <v>1.0414045220303083</v>
      </c>
      <c r="G51">
        <f t="shared" si="5"/>
        <v>2.0973577136579946</v>
      </c>
      <c r="H51">
        <f t="shared" si="6"/>
        <v>2.0139702385476626</v>
      </c>
      <c r="I51">
        <f t="shared" si="7"/>
        <v>3.366962260943085</v>
      </c>
      <c r="J51">
        <f t="shared" si="8"/>
        <v>5.108584025353008</v>
      </c>
      <c r="K51">
        <f t="shared" si="9"/>
        <v>0.027013014180896067</v>
      </c>
      <c r="L51">
        <f t="shared" si="10"/>
        <v>0.04098598143553491</v>
      </c>
      <c r="M51">
        <f t="shared" si="11"/>
        <v>19.856178269394906</v>
      </c>
      <c r="N51">
        <f t="shared" si="12"/>
        <v>12.806231537845578</v>
      </c>
      <c r="O51">
        <f>Feuil1!$I$16</f>
        <v>1.5</v>
      </c>
      <c r="P51">
        <f t="shared" si="13"/>
        <v>10.623277175570658</v>
      </c>
    </row>
    <row r="52" spans="1:16" ht="12.75">
      <c r="A52" s="35">
        <f t="shared" si="14"/>
        <v>20.250868018650497</v>
      </c>
      <c r="B52">
        <f t="shared" si="0"/>
        <v>0.20250868018650497</v>
      </c>
      <c r="C52">
        <f t="shared" si="1"/>
        <v>-0.6935563567638422</v>
      </c>
      <c r="D52">
        <f t="shared" si="2"/>
        <v>0.002916933633808627</v>
      </c>
      <c r="E52">
        <f t="shared" si="3"/>
        <v>0.3108165730900797</v>
      </c>
      <c r="F52">
        <f t="shared" si="4"/>
        <v>1.0067390940903884</v>
      </c>
      <c r="G52">
        <f t="shared" si="5"/>
        <v>2.0455804909150936</v>
      </c>
      <c r="H52">
        <f t="shared" si="6"/>
        <v>2.031887410474828</v>
      </c>
      <c r="I52">
        <f t="shared" si="7"/>
        <v>3.3097873177245454</v>
      </c>
      <c r="J52">
        <f t="shared" si="8"/>
        <v>5.023185980492008</v>
      </c>
      <c r="K52">
        <f t="shared" si="9"/>
        <v>0.026554301717774568</v>
      </c>
      <c r="L52">
        <f t="shared" si="10"/>
        <v>0.040300836067673006</v>
      </c>
      <c r="M52">
        <f t="shared" si="11"/>
        <v>20.250868018650497</v>
      </c>
      <c r="N52">
        <f t="shared" si="12"/>
        <v>12.814263192951044</v>
      </c>
      <c r="O52">
        <f>Feuil1!$I$16</f>
        <v>1.5</v>
      </c>
      <c r="P52">
        <f t="shared" si="13"/>
        <v>10.628803456399332</v>
      </c>
    </row>
    <row r="53" spans="1:16" ht="12.75">
      <c r="A53" s="35">
        <f t="shared" si="14"/>
        <v>20.645557767906087</v>
      </c>
      <c r="B53">
        <f t="shared" si="0"/>
        <v>0.20645557767906086</v>
      </c>
      <c r="C53">
        <f t="shared" si="1"/>
        <v>-0.6851733795729262</v>
      </c>
      <c r="D53">
        <f t="shared" si="2"/>
        <v>-0.011501787134566843</v>
      </c>
      <c r="E53">
        <f t="shared" si="3"/>
        <v>0.3001701920576164</v>
      </c>
      <c r="F53">
        <f t="shared" si="4"/>
        <v>0.973863777842298</v>
      </c>
      <c r="G53">
        <f t="shared" si="5"/>
        <v>1.9960443749739591</v>
      </c>
      <c r="H53">
        <f t="shared" si="6"/>
        <v>2.0496135295188966</v>
      </c>
      <c r="I53">
        <f t="shared" si="7"/>
        <v>3.2555648704195885</v>
      </c>
      <c r="J53">
        <f t="shared" si="8"/>
        <v>4.941484274079786</v>
      </c>
      <c r="K53">
        <f t="shared" si="9"/>
        <v>0.026119277020598002</v>
      </c>
      <c r="L53">
        <f t="shared" si="10"/>
        <v>0.03964534628701281</v>
      </c>
      <c r="M53">
        <f t="shared" si="11"/>
        <v>20.645557767906087</v>
      </c>
      <c r="N53">
        <f t="shared" si="12"/>
        <v>12.817829091595282</v>
      </c>
      <c r="O53">
        <f>Feuil1!$I$16</f>
        <v>1.5</v>
      </c>
      <c r="P53">
        <f t="shared" si="13"/>
        <v>10.631256638893825</v>
      </c>
    </row>
    <row r="54" spans="1:16" ht="12.75">
      <c r="A54" s="35">
        <f t="shared" si="14"/>
        <v>21.040247517161678</v>
      </c>
      <c r="B54">
        <f t="shared" si="0"/>
        <v>0.21040247517161678</v>
      </c>
      <c r="C54">
        <f t="shared" si="1"/>
        <v>-0.676949155454363</v>
      </c>
      <c r="D54">
        <f t="shared" si="2"/>
        <v>-0.02564745261849577</v>
      </c>
      <c r="E54">
        <f t="shared" si="3"/>
        <v>0.289725427427041</v>
      </c>
      <c r="F54">
        <f t="shared" si="4"/>
        <v>0.9426545049887756</v>
      </c>
      <c r="G54">
        <f t="shared" si="5"/>
        <v>1.9486122455197046</v>
      </c>
      <c r="H54">
        <f t="shared" si="6"/>
        <v>2.0671542279882353</v>
      </c>
      <c r="I54">
        <f t="shared" si="7"/>
        <v>3.204090288701323</v>
      </c>
      <c r="J54">
        <f t="shared" si="8"/>
        <v>4.863252748625044</v>
      </c>
      <c r="K54">
        <f t="shared" si="9"/>
        <v>0.02570629834779229</v>
      </c>
      <c r="L54">
        <f t="shared" si="10"/>
        <v>0.03901769764033324</v>
      </c>
      <c r="M54">
        <f t="shared" si="11"/>
        <v>21.040247517161678</v>
      </c>
      <c r="N54">
        <f t="shared" si="12"/>
        <v>12.817212801787731</v>
      </c>
      <c r="O54">
        <f>Feuil1!$I$16</f>
        <v>1.5</v>
      </c>
      <c r="P54">
        <f t="shared" si="13"/>
        <v>10.630832675071893</v>
      </c>
    </row>
    <row r="55" spans="1:16" ht="12.75">
      <c r="A55" s="35">
        <f t="shared" si="14"/>
        <v>21.43493726641727</v>
      </c>
      <c r="B55">
        <f t="shared" si="0"/>
        <v>0.21434937266417267</v>
      </c>
      <c r="C55">
        <f t="shared" si="1"/>
        <v>-0.6688777832001729</v>
      </c>
      <c r="D55">
        <f t="shared" si="2"/>
        <v>-0.03953021289570269</v>
      </c>
      <c r="E55">
        <f t="shared" si="3"/>
        <v>0.2794747846642196</v>
      </c>
      <c r="F55">
        <f t="shared" si="4"/>
        <v>0.9129979178608109</v>
      </c>
      <c r="G55">
        <f t="shared" si="5"/>
        <v>1.9031577361619605</v>
      </c>
      <c r="H55">
        <f t="shared" si="6"/>
        <v>2.0845148701117875</v>
      </c>
      <c r="I55">
        <f t="shared" si="7"/>
        <v>3.155176607669149</v>
      </c>
      <c r="J55">
        <f t="shared" si="8"/>
        <v>4.788282983472865</v>
      </c>
      <c r="K55">
        <f t="shared" si="9"/>
        <v>0.025313865686847688</v>
      </c>
      <c r="L55">
        <f t="shared" si="10"/>
        <v>0.038416217976398125</v>
      </c>
      <c r="M55">
        <f t="shared" si="11"/>
        <v>21.43493726641727</v>
      </c>
      <c r="N55">
        <f t="shared" si="12"/>
        <v>12.812680306785433</v>
      </c>
      <c r="O55">
        <f>Feuil1!$I$16</f>
        <v>1.5</v>
      </c>
      <c r="P55">
        <f t="shared" si="13"/>
        <v>10.627714425239958</v>
      </c>
    </row>
    <row r="56" spans="1:16" ht="12.75">
      <c r="A56" s="35">
        <f t="shared" si="14"/>
        <v>21.82962701567286</v>
      </c>
      <c r="B56">
        <f t="shared" si="0"/>
        <v>0.2182962701567286</v>
      </c>
      <c r="C56">
        <f t="shared" si="1"/>
        <v>-0.6609536846490356</v>
      </c>
      <c r="D56">
        <f t="shared" si="2"/>
        <v>-0.05315966240365877</v>
      </c>
      <c r="E56">
        <f t="shared" si="3"/>
        <v>0.2694111795042753</v>
      </c>
      <c r="F56">
        <f t="shared" si="4"/>
        <v>0.8847902690362109</v>
      </c>
      <c r="G56">
        <f t="shared" si="5"/>
        <v>1.8595642123018195</v>
      </c>
      <c r="H56">
        <f t="shared" si="6"/>
        <v>2.101700569477799</v>
      </c>
      <c r="I56">
        <f t="shared" si="7"/>
        <v>3.108652712949887</v>
      </c>
      <c r="J56">
        <f t="shared" si="8"/>
        <v>4.716382608963731</v>
      </c>
      <c r="K56">
        <f t="shared" si="9"/>
        <v>0.024940606193452022</v>
      </c>
      <c r="L56">
        <f t="shared" si="10"/>
        <v>0.03783936392051603</v>
      </c>
      <c r="M56">
        <f t="shared" si="11"/>
        <v>21.82962701567286</v>
      </c>
      <c r="N56">
        <f t="shared" si="12"/>
        <v>12.8044812150694</v>
      </c>
      <c r="O56">
        <f>Feuil1!$I$16</f>
        <v>1.5</v>
      </c>
      <c r="P56">
        <f t="shared" si="13"/>
        <v>10.622072687261486</v>
      </c>
    </row>
    <row r="57" spans="1:16" ht="12.75">
      <c r="A57" s="35">
        <f t="shared" si="14"/>
        <v>22.22431676492845</v>
      </c>
      <c r="B57">
        <f t="shared" si="0"/>
        <v>0.2222431676492845</v>
      </c>
      <c r="C57">
        <f t="shared" si="1"/>
        <v>-0.6531715815290619</v>
      </c>
      <c r="D57">
        <f t="shared" si="2"/>
        <v>-0.06654487977001367</v>
      </c>
      <c r="E57">
        <f t="shared" si="3"/>
        <v>0.25952790854190866</v>
      </c>
      <c r="F57">
        <f t="shared" si="4"/>
        <v>0.857936451426635</v>
      </c>
      <c r="G57">
        <f t="shared" si="5"/>
        <v>1.8177238625361605</v>
      </c>
      <c r="H57">
        <f t="shared" si="6"/>
        <v>2.1187162050447044</v>
      </c>
      <c r="I57">
        <f t="shared" si="7"/>
        <v>3.064361740985268</v>
      </c>
      <c r="J57">
        <f t="shared" si="8"/>
        <v>4.647373807853835</v>
      </c>
      <c r="K57">
        <f t="shared" si="9"/>
        <v>0.024585261357056142</v>
      </c>
      <c r="L57">
        <f t="shared" si="10"/>
        <v>0.03728570885149066</v>
      </c>
      <c r="M57">
        <f t="shared" si="11"/>
        <v>22.22431676492845</v>
      </c>
      <c r="N57">
        <f t="shared" si="12"/>
        <v>12.792849873961499</v>
      </c>
      <c r="O57">
        <f>Feuil1!$I$16</f>
        <v>1.5</v>
      </c>
      <c r="P57">
        <f t="shared" si="13"/>
        <v>10.614067129404186</v>
      </c>
    </row>
    <row r="58" spans="1:16" ht="12.75">
      <c r="A58" s="35">
        <f t="shared" si="14"/>
        <v>22.61900651418404</v>
      </c>
      <c r="B58">
        <f t="shared" si="0"/>
        <v>0.2261900651418404</v>
      </c>
      <c r="C58">
        <f t="shared" si="1"/>
        <v>-0.6455264743390836</v>
      </c>
      <c r="D58">
        <f t="shared" si="2"/>
        <v>-0.07969446413677606</v>
      </c>
      <c r="E58">
        <f t="shared" si="3"/>
        <v>0.24981862241063624</v>
      </c>
      <c r="F58">
        <f t="shared" si="4"/>
        <v>0.8323491413703467</v>
      </c>
      <c r="G58">
        <f t="shared" si="5"/>
        <v>1.7775368892309433</v>
      </c>
      <c r="H58">
        <f t="shared" si="6"/>
        <v>2.135566435864254</v>
      </c>
      <c r="I58">
        <f t="shared" si="7"/>
        <v>3.0221596657038394</v>
      </c>
      <c r="J58">
        <f t="shared" si="8"/>
        <v>4.581091980298354</v>
      </c>
      <c r="K58">
        <f t="shared" si="9"/>
        <v>0.024246675661794694</v>
      </c>
      <c r="L58">
        <f t="shared" si="10"/>
        <v>0.036753932190830854</v>
      </c>
      <c r="M58">
        <f t="shared" si="11"/>
        <v>22.61900651418404</v>
      </c>
      <c r="N58">
        <f t="shared" si="12"/>
        <v>12.778006395942956</v>
      </c>
      <c r="O58">
        <f>Feuil1!$I$16</f>
        <v>1.5</v>
      </c>
      <c r="P58">
        <f t="shared" si="13"/>
        <v>10.603847137364442</v>
      </c>
    </row>
    <row r="59" spans="1:16" ht="12.75">
      <c r="A59" s="35">
        <f t="shared" si="14"/>
        <v>23.01369626343963</v>
      </c>
      <c r="B59">
        <f t="shared" si="0"/>
        <v>0.2301369626343963</v>
      </c>
      <c r="C59">
        <f t="shared" si="1"/>
        <v>-0.6380136230568471</v>
      </c>
      <c r="D59">
        <f t="shared" si="2"/>
        <v>-0.0926165683422231</v>
      </c>
      <c r="E59">
        <f t="shared" si="3"/>
        <v>0.24027730128219582</v>
      </c>
      <c r="F59">
        <f t="shared" si="4"/>
        <v>0.80794803986301</v>
      </c>
      <c r="G59">
        <f t="shared" si="5"/>
        <v>1.738910785928195</v>
      </c>
      <c r="H59">
        <f t="shared" si="6"/>
        <v>2.152255714641046</v>
      </c>
      <c r="I59">
        <f t="shared" si="7"/>
        <v>2.9819140470554917</v>
      </c>
      <c r="J59">
        <f t="shared" si="8"/>
        <v>4.517384552052679</v>
      </c>
      <c r="K59">
        <f t="shared" si="9"/>
        <v>0.023923786546024728</v>
      </c>
      <c r="L59">
        <f t="shared" si="10"/>
        <v>0.03624280984099293</v>
      </c>
      <c r="M59">
        <f t="shared" si="11"/>
        <v>23.01369626343963</v>
      </c>
      <c r="N59">
        <f t="shared" si="12"/>
        <v>12.76015760572839</v>
      </c>
      <c r="O59">
        <f>Feuil1!$I$16</f>
        <v>1.5</v>
      </c>
      <c r="P59">
        <f t="shared" si="13"/>
        <v>10.591552584731383</v>
      </c>
    </row>
    <row r="60" spans="1:16" ht="12.75">
      <c r="A60" s="35">
        <f t="shared" si="14"/>
        <v>23.40838601269522</v>
      </c>
      <c r="B60">
        <f t="shared" si="0"/>
        <v>0.2340838601269522</v>
      </c>
      <c r="C60">
        <f t="shared" si="1"/>
        <v>-0.63062852948768</v>
      </c>
      <c r="D60">
        <f t="shared" si="2"/>
        <v>-0.10531892928119047</v>
      </c>
      <c r="E60">
        <f t="shared" si="3"/>
        <v>0.2308982324493537</v>
      </c>
      <c r="F60">
        <f t="shared" si="4"/>
        <v>0.7846591992312404</v>
      </c>
      <c r="G60">
        <f t="shared" si="5"/>
        <v>1.701759690967377</v>
      </c>
      <c r="H60">
        <f t="shared" si="6"/>
        <v>2.1687883002386945</v>
      </c>
      <c r="I60">
        <f t="shared" si="7"/>
        <v>2.9435029204698115</v>
      </c>
      <c r="J60">
        <f t="shared" si="8"/>
        <v>4.4561099083767735</v>
      </c>
      <c r="K60">
        <f t="shared" si="9"/>
        <v>0.02361561549249099</v>
      </c>
      <c r="L60">
        <f t="shared" si="10"/>
        <v>0.03575120563213466</v>
      </c>
      <c r="M60">
        <f t="shared" si="11"/>
        <v>23.40838601269522</v>
      </c>
      <c r="N60">
        <f t="shared" si="12"/>
        <v>12.739497915271778</v>
      </c>
      <c r="O60">
        <f>Feuil1!$I$16</f>
        <v>1.5</v>
      </c>
      <c r="P60">
        <f t="shared" si="13"/>
        <v>10.57731453500528</v>
      </c>
    </row>
    <row r="61" spans="1:16" ht="12.75">
      <c r="A61" s="35">
        <f t="shared" si="14"/>
        <v>23.80307576195081</v>
      </c>
      <c r="B61">
        <f t="shared" si="0"/>
        <v>0.23803075761950812</v>
      </c>
      <c r="C61">
        <f t="shared" si="1"/>
        <v>-0.6233669210890338</v>
      </c>
      <c r="D61">
        <f t="shared" si="2"/>
        <v>-0.11780889572686193</v>
      </c>
      <c r="E61">
        <f t="shared" si="3"/>
        <v>0.221675989783073</v>
      </c>
      <c r="F61">
        <f t="shared" si="4"/>
        <v>0.7624144243780279</v>
      </c>
      <c r="G61">
        <f t="shared" si="5"/>
        <v>1.6660038081547381</v>
      </c>
      <c r="H61">
        <f t="shared" si="6"/>
        <v>2.1851682692308083</v>
      </c>
      <c r="I61">
        <f t="shared" si="7"/>
        <v>2.906813809308516</v>
      </c>
      <c r="J61">
        <f t="shared" si="8"/>
        <v>4.397136438524202</v>
      </c>
      <c r="K61">
        <f t="shared" si="9"/>
        <v>0.023321260105268162</v>
      </c>
      <c r="L61">
        <f t="shared" si="10"/>
        <v>0.03527806365608591</v>
      </c>
      <c r="M61">
        <f t="shared" si="11"/>
        <v>23.80307576195081</v>
      </c>
      <c r="N61">
        <f t="shared" si="12"/>
        <v>12.716210133115444</v>
      </c>
      <c r="O61">
        <f>Feuil1!$I$16</f>
        <v>1.5</v>
      </c>
      <c r="P61">
        <f t="shared" si="13"/>
        <v>10.56125588229803</v>
      </c>
    </row>
    <row r="62" spans="1:16" ht="12.75">
      <c r="A62" s="35">
        <f t="shared" si="14"/>
        <v>24.197765511206402</v>
      </c>
      <c r="B62">
        <f t="shared" si="0"/>
        <v>0.241977655112064</v>
      </c>
      <c r="C62">
        <f t="shared" si="1"/>
        <v>-0.6162247361252496</v>
      </c>
      <c r="D62">
        <f t="shared" si="2"/>
        <v>-0.1300934538645706</v>
      </c>
      <c r="E62">
        <f t="shared" si="3"/>
        <v>0.21260541487906714</v>
      </c>
      <c r="F62">
        <f t="shared" si="4"/>
        <v>0.7411507392660684</v>
      </c>
      <c r="G62">
        <f t="shared" si="5"/>
        <v>1.6315688865479199</v>
      </c>
      <c r="H62">
        <f t="shared" si="6"/>
        <v>2.2013995265842903</v>
      </c>
      <c r="I62">
        <f t="shared" si="7"/>
        <v>2.871742844917127</v>
      </c>
      <c r="J62">
        <f t="shared" si="8"/>
        <v>4.340341677732069</v>
      </c>
      <c r="K62">
        <f t="shared" si="9"/>
        <v>0.023039887049967886</v>
      </c>
      <c r="L62">
        <f t="shared" si="10"/>
        <v>0.03482240138256558</v>
      </c>
      <c r="M62">
        <f t="shared" si="11"/>
        <v>24.197765511206402</v>
      </c>
      <c r="N62">
        <f t="shared" si="12"/>
        <v>12.690466213821681</v>
      </c>
      <c r="O62">
        <f>Feuil1!$I$16</f>
        <v>1.5</v>
      </c>
      <c r="P62">
        <f t="shared" si="13"/>
        <v>10.543491936990742</v>
      </c>
    </row>
    <row r="63" spans="1:16" ht="12.75">
      <c r="A63" s="35">
        <f t="shared" si="14"/>
        <v>24.592455260461993</v>
      </c>
      <c r="B63">
        <f t="shared" si="0"/>
        <v>0.24592455260461993</v>
      </c>
      <c r="C63">
        <f t="shared" si="1"/>
        <v>-0.6091981100233976</v>
      </c>
      <c r="D63">
        <f t="shared" si="2"/>
        <v>-0.14217925075975613</v>
      </c>
      <c r="E63">
        <f t="shared" si="3"/>
        <v>0.203681599729715</v>
      </c>
      <c r="F63">
        <f t="shared" si="4"/>
        <v>0.7208099106035996</v>
      </c>
      <c r="G63">
        <f t="shared" si="5"/>
        <v>1.5983857524736225</v>
      </c>
      <c r="H63">
        <f t="shared" si="6"/>
        <v>2.2174858155531587</v>
      </c>
      <c r="I63">
        <f t="shared" si="7"/>
        <v>2.8381939810228083</v>
      </c>
      <c r="J63">
        <f t="shared" si="8"/>
        <v>4.2856115353608475</v>
      </c>
      <c r="K63">
        <f t="shared" si="9"/>
        <v>0.022770725750881526</v>
      </c>
      <c r="L63">
        <f t="shared" si="10"/>
        <v>0.034383303466575824</v>
      </c>
      <c r="M63">
        <f t="shared" si="11"/>
        <v>24.592455260461993</v>
      </c>
      <c r="N63">
        <f t="shared" si="12"/>
        <v>12.662427952637977</v>
      </c>
      <c r="O63">
        <f>Feuil1!$I$16</f>
        <v>1.5</v>
      </c>
      <c r="P63">
        <f t="shared" si="13"/>
        <v>10.524130961885914</v>
      </c>
    </row>
    <row r="64" spans="1:16" ht="12.75">
      <c r="A64" s="35">
        <f t="shared" si="14"/>
        <v>24.987145009717583</v>
      </c>
      <c r="B64">
        <f t="shared" si="0"/>
        <v>0.24987145009717582</v>
      </c>
      <c r="C64">
        <f t="shared" si="1"/>
        <v>-0.6022833628154343</v>
      </c>
      <c r="D64">
        <f t="shared" si="2"/>
        <v>-0.15407261595745303</v>
      </c>
      <c r="E64">
        <f t="shared" si="3"/>
        <v>0.19489987077560156</v>
      </c>
      <c r="F64">
        <f t="shared" si="4"/>
        <v>0.7013380217976981</v>
      </c>
      <c r="G64">
        <f t="shared" si="5"/>
        <v>1.5663898877932356</v>
      </c>
      <c r="H64">
        <f t="shared" si="6"/>
        <v>2.2334307268529394</v>
      </c>
      <c r="I64">
        <f t="shared" si="7"/>
        <v>2.806078291040136</v>
      </c>
      <c r="J64">
        <f t="shared" si="8"/>
        <v>4.23283959931264</v>
      </c>
      <c r="K64">
        <f t="shared" si="9"/>
        <v>0.022513062753290278</v>
      </c>
      <c r="L64">
        <f t="shared" si="10"/>
        <v>0.033959916167775425</v>
      </c>
      <c r="M64">
        <f t="shared" si="11"/>
        <v>24.987145009717583</v>
      </c>
      <c r="N64">
        <f t="shared" si="12"/>
        <v>12.632247630027974</v>
      </c>
      <c r="O64">
        <f>Feuil1!$I$16</f>
        <v>1.5</v>
      </c>
      <c r="P64">
        <f t="shared" si="13"/>
        <v>10.503274663751661</v>
      </c>
    </row>
    <row r="65" spans="1:16" ht="12.75">
      <c r="A65" s="35">
        <f t="shared" si="14"/>
        <v>25.381834758973174</v>
      </c>
      <c r="B65">
        <f t="shared" si="0"/>
        <v>0.25381834758973176</v>
      </c>
      <c r="C65">
        <f t="shared" si="1"/>
        <v>-0.5954769875645138</v>
      </c>
      <c r="D65">
        <f t="shared" si="2"/>
        <v>-0.16577958138903615</v>
      </c>
      <c r="E65">
        <f t="shared" si="3"/>
        <v>0.18625577420693262</v>
      </c>
      <c r="F65">
        <f t="shared" si="4"/>
        <v>0.6826850911749855</v>
      </c>
      <c r="G65">
        <f t="shared" si="5"/>
        <v>1.53552104919932</v>
      </c>
      <c r="H65">
        <f t="shared" si="6"/>
        <v>2.2492377071784273</v>
      </c>
      <c r="I65">
        <f t="shared" si="7"/>
        <v>2.775313338388713</v>
      </c>
      <c r="J65">
        <f t="shared" si="8"/>
        <v>4.181926508123106</v>
      </c>
      <c r="K65">
        <f t="shared" si="9"/>
        <v>0.022266236671546584</v>
      </c>
      <c r="L65">
        <f t="shared" si="10"/>
        <v>0.033551442312796456</v>
      </c>
      <c r="M65">
        <f t="shared" si="11"/>
        <v>25.381834758973174</v>
      </c>
      <c r="N65">
        <f t="shared" si="12"/>
        <v>12.6000686102422</v>
      </c>
      <c r="O65">
        <f>Feuil1!$I$16</f>
        <v>1.5</v>
      </c>
      <c r="P65">
        <f t="shared" si="13"/>
        <v>10.481018644598723</v>
      </c>
    </row>
    <row r="66" spans="1:16" ht="12.75">
      <c r="A66" s="35">
        <f t="shared" si="14"/>
        <v>25.776524508228764</v>
      </c>
      <c r="B66">
        <f t="shared" si="0"/>
        <v>0.25776524508228765</v>
      </c>
      <c r="C66">
        <f t="shared" si="1"/>
        <v>-0.5887756396843283</v>
      </c>
      <c r="D66">
        <f t="shared" si="2"/>
        <v>-0.1773058997429553</v>
      </c>
      <c r="E66">
        <f t="shared" si="3"/>
        <v>0.17774506239909704</v>
      </c>
      <c r="F66">
        <f t="shared" si="4"/>
        <v>0.6648047292663234</v>
      </c>
      <c r="G66">
        <f t="shared" si="5"/>
        <v>1.5057229239851135</v>
      </c>
      <c r="H66">
        <f t="shared" si="6"/>
        <v>2.2649100671212508</v>
      </c>
      <c r="I66">
        <f t="shared" si="7"/>
        <v>2.745822611240429</v>
      </c>
      <c r="J66">
        <f t="shared" si="8"/>
        <v>4.132779383209663</v>
      </c>
      <c r="K66">
        <f t="shared" si="9"/>
        <v>0.02202963365407219</v>
      </c>
      <c r="L66">
        <f t="shared" si="10"/>
        <v>0.03315713674019249</v>
      </c>
      <c r="M66">
        <f t="shared" si="11"/>
        <v>25.776524508228764</v>
      </c>
      <c r="N66">
        <f t="shared" si="12"/>
        <v>12.56602589769753</v>
      </c>
      <c r="O66">
        <f>Feuil1!$I$16</f>
        <v>1.5</v>
      </c>
      <c r="P66">
        <f t="shared" si="13"/>
        <v>10.457452816545452</v>
      </c>
    </row>
    <row r="67" spans="1:16" ht="12.75">
      <c r="A67" s="35">
        <f t="shared" si="14"/>
        <v>26.171214257484355</v>
      </c>
      <c r="B67">
        <f t="shared" si="0"/>
        <v>0.26171214257484354</v>
      </c>
      <c r="C67">
        <f t="shared" si="1"/>
        <v>-0.5821761270700411</v>
      </c>
      <c r="D67">
        <f t="shared" si="2"/>
        <v>-0.18865706143952932</v>
      </c>
      <c r="E67">
        <f t="shared" si="3"/>
        <v>0.1693636813789522</v>
      </c>
      <c r="F67">
        <f t="shared" si="4"/>
        <v>0.6476538306325551</v>
      </c>
      <c r="G67">
        <f t="shared" si="5"/>
        <v>1.4769428182964692</v>
      </c>
      <c r="H67">
        <f t="shared" si="6"/>
        <v>2.2804509885380564</v>
      </c>
      <c r="I67">
        <f t="shared" si="7"/>
        <v>2.717535014236516</v>
      </c>
      <c r="J67">
        <f t="shared" si="8"/>
        <v>4.085311314694147</v>
      </c>
      <c r="K67">
        <f t="shared" si="9"/>
        <v>0.02180268330542286</v>
      </c>
      <c r="L67">
        <f t="shared" si="10"/>
        <v>0.032776302175212775</v>
      </c>
      <c r="M67">
        <f t="shared" si="11"/>
        <v>26.171214257484355</v>
      </c>
      <c r="N67">
        <f t="shared" si="12"/>
        <v>12.530246654574693</v>
      </c>
      <c r="O67">
        <f>Feuil1!$I$16</f>
        <v>1.5</v>
      </c>
      <c r="P67">
        <f t="shared" si="13"/>
        <v>10.432661783701903</v>
      </c>
    </row>
    <row r="68" spans="1:16" ht="12.75">
      <c r="A68" s="35">
        <f t="shared" si="14"/>
        <v>26.565904006739945</v>
      </c>
      <c r="B68">
        <f t="shared" si="0"/>
        <v>0.26565904006739943</v>
      </c>
      <c r="C68">
        <f t="shared" si="1"/>
        <v>-0.5756754009679185</v>
      </c>
      <c r="D68">
        <f t="shared" si="2"/>
        <v>-0.19983831033518018</v>
      </c>
      <c r="E68">
        <f t="shared" si="3"/>
        <v>0.16110775922925646</v>
      </c>
      <c r="F68">
        <f t="shared" si="4"/>
        <v>0.6311922962911363</v>
      </c>
      <c r="G68">
        <f t="shared" si="5"/>
        <v>1.4491313743649765</v>
      </c>
      <c r="H68">
        <f t="shared" si="6"/>
        <v>2.2958635314151037</v>
      </c>
      <c r="I68">
        <f t="shared" si="7"/>
        <v>2.6903844106757617</v>
      </c>
      <c r="J68">
        <f t="shared" si="8"/>
        <v>4.039440895025174</v>
      </c>
      <c r="K68">
        <f t="shared" si="9"/>
        <v>0.021584855013281234</v>
      </c>
      <c r="L68">
        <f t="shared" si="10"/>
        <v>0.0324082854880716</v>
      </c>
      <c r="M68">
        <f t="shared" si="11"/>
        <v>26.565904006739945</v>
      </c>
      <c r="N68">
        <f t="shared" si="12"/>
        <v>12.492850682723398</v>
      </c>
      <c r="O68">
        <f>Feuil1!$I$16</f>
        <v>1.5</v>
      </c>
      <c r="P68">
        <f t="shared" si="13"/>
        <v>10.406725194132488</v>
      </c>
    </row>
    <row r="69" spans="1:16" ht="12.75">
      <c r="A69" s="35">
        <f t="shared" si="14"/>
        <v>26.960593755995536</v>
      </c>
      <c r="B69">
        <f t="shared" si="0"/>
        <v>0.2696059375599554</v>
      </c>
      <c r="C69">
        <f t="shared" si="1"/>
        <v>-0.5692705475182851</v>
      </c>
      <c r="D69">
        <f t="shared" si="2"/>
        <v>-0.21085465826854954</v>
      </c>
      <c r="E69">
        <f t="shared" si="3"/>
        <v>0.15297359534822208</v>
      </c>
      <c r="F69">
        <f t="shared" si="4"/>
        <v>0.6153827833037641</v>
      </c>
      <c r="G69">
        <f t="shared" si="5"/>
        <v>1.422242313644017</v>
      </c>
      <c r="H69">
        <f t="shared" si="6"/>
        <v>2.3111506402706303</v>
      </c>
      <c r="I69">
        <f t="shared" si="7"/>
        <v>2.664309209500332</v>
      </c>
      <c r="J69">
        <f t="shared" si="8"/>
        <v>3.9950917953231535</v>
      </c>
      <c r="K69">
        <f t="shared" si="9"/>
        <v>0.02137565463485932</v>
      </c>
      <c r="L69">
        <f t="shared" si="10"/>
        <v>0.03205247429497997</v>
      </c>
      <c r="M69">
        <f t="shared" si="11"/>
        <v>26.960593755995536</v>
      </c>
      <c r="N69">
        <f t="shared" si="12"/>
        <v>12.453950872679611</v>
      </c>
      <c r="O69">
        <f>Feuil1!$I$16</f>
        <v>1.5</v>
      </c>
      <c r="P69">
        <f t="shared" si="13"/>
        <v>10.379718064630403</v>
      </c>
    </row>
    <row r="70" spans="1:16" ht="12.75">
      <c r="A70" s="35">
        <f t="shared" si="14"/>
        <v>27.355283505251126</v>
      </c>
      <c r="B70">
        <f aca="true" t="shared" si="15" ref="B70:B106">A70/100</f>
        <v>0.27355283505251127</v>
      </c>
      <c r="C70">
        <f aca="true" t="shared" si="16" ref="C70:C106">LOG(B70)</f>
        <v>-0.5629587799130836</v>
      </c>
      <c r="D70">
        <f aca="true" t="shared" si="17" ref="D70:D106">$C$2*C70+$E$2</f>
        <v>-0.2217108985494961</v>
      </c>
      <c r="E70">
        <f t="shared" si="3"/>
        <v>0.14495765048961629</v>
      </c>
      <c r="F70">
        <f t="shared" si="4"/>
        <v>0.60019047851562</v>
      </c>
      <c r="G70">
        <f t="shared" si="5"/>
        <v>1.39623220313611</v>
      </c>
      <c r="H70">
        <f t="shared" si="6"/>
        <v>2.326315150132414</v>
      </c>
      <c r="I70">
        <f t="shared" si="7"/>
        <v>2.639251992115729</v>
      </c>
      <c r="J70">
        <f t="shared" si="8"/>
        <v>3.9521923799755365</v>
      </c>
      <c r="K70">
        <f t="shared" si="9"/>
        <v>0.021174621502888753</v>
      </c>
      <c r="L70">
        <f t="shared" si="10"/>
        <v>0.03170829386605745</v>
      </c>
      <c r="M70">
        <f t="shared" si="11"/>
        <v>27.355283505251126</v>
      </c>
      <c r="N70">
        <f t="shared" si="12"/>
        <v>12.41365362234539</v>
      </c>
      <c r="O70">
        <f>Feuil1!$I$16</f>
        <v>1.5</v>
      </c>
      <c r="P70">
        <f t="shared" si="13"/>
        <v>10.351711080750242</v>
      </c>
    </row>
    <row r="71" spans="1:16" ht="12.75">
      <c r="A71" s="35">
        <f t="shared" si="14"/>
        <v>27.749973254506717</v>
      </c>
      <c r="B71">
        <f t="shared" si="15"/>
        <v>0.27749973254506716</v>
      </c>
      <c r="C71">
        <f t="shared" si="16"/>
        <v>-0.5567374311152057</v>
      </c>
      <c r="D71">
        <f t="shared" si="17"/>
        <v>-0.23241161848184622</v>
      </c>
      <c r="E71">
        <f aca="true" t="shared" si="18" ref="E71:E106">$C$3*C71+$E$3</f>
        <v>0.1370565375163113</v>
      </c>
      <c r="F71">
        <f aca="true" t="shared" si="19" ref="F71:F106">10^D71</f>
        <v>0.585582893808129</v>
      </c>
      <c r="G71">
        <f aca="true" t="shared" si="20" ref="G71:G106">10^E71</f>
        <v>1.3710602425182052</v>
      </c>
      <c r="H71">
        <f aca="true" t="shared" si="21" ref="H71:H106">IF(G71&gt;F71,G71/F71,F71/G71)</f>
        <v>2.3413597921243996</v>
      </c>
      <c r="I71">
        <f aca="true" t="shared" si="22" ref="I71:I106">Vmort*(1+F71)</f>
        <v>2.615159174693763</v>
      </c>
      <c r="J71">
        <f aca="true" t="shared" si="23" ref="J71:J106">Vmort*(1+G71)</f>
        <v>3.9106753555348646</v>
      </c>
      <c r="K71">
        <f aca="true" t="shared" si="24" ref="K71:K106">I71/Nvrai^0.5</f>
        <v>0.02098132571629</v>
      </c>
      <c r="L71">
        <f aca="true" t="shared" si="25" ref="L71:L106">J71/Nvrai^0.5</f>
        <v>0.03137520430845417</v>
      </c>
      <c r="M71">
        <f aca="true" t="shared" si="26" ref="M71:M106">A71</f>
        <v>27.749973254506717</v>
      </c>
      <c r="N71">
        <f aca="true" t="shared" si="27" ref="N71:N106">0.5*ABS((I71-J71))/(K71+L71)</f>
        <v>12.372059227653446</v>
      </c>
      <c r="O71">
        <f>Feuil1!$I$16</f>
        <v>1.5</v>
      </c>
      <c r="P71">
        <f aca="true" t="shared" si="28" ref="P71:P106">0.25*Nvrai^0.5*(H71-1)/H71*MAX(F71:G71)/(1+MAX(F71:G71))</f>
        <v>10.322770874292118</v>
      </c>
    </row>
    <row r="72" spans="1:16" ht="12.75">
      <c r="A72" s="35">
        <f aca="true" t="shared" si="29" ref="A72:A106">A71+($A$4-$A$3)/100</f>
        <v>28.144663003762307</v>
      </c>
      <c r="B72">
        <f t="shared" si="15"/>
        <v>0.28144663003762305</v>
      </c>
      <c r="C72">
        <f t="shared" si="16"/>
        <v>-0.5506039470919886</v>
      </c>
      <c r="D72">
        <f t="shared" si="17"/>
        <v>-0.2429612110017796</v>
      </c>
      <c r="E72">
        <f t="shared" si="18"/>
        <v>0.1292670128068255</v>
      </c>
      <c r="F72">
        <f t="shared" si="19"/>
        <v>0.5715296805480853</v>
      </c>
      <c r="G72">
        <f t="shared" si="20"/>
        <v>1.346688069948641</v>
      </c>
      <c r="H72">
        <f t="shared" si="21"/>
        <v>2.356287198693154</v>
      </c>
      <c r="I72">
        <f t="shared" si="22"/>
        <v>2.5919807021367944</v>
      </c>
      <c r="J72">
        <f t="shared" si="23"/>
        <v>3.870477450429167</v>
      </c>
      <c r="K72">
        <f t="shared" si="24"/>
        <v>0.020795365684858725</v>
      </c>
      <c r="L72">
        <f t="shared" si="25"/>
        <v>0.031052697996679122</v>
      </c>
      <c r="M72">
        <f t="shared" si="26"/>
        <v>28.144663003762307</v>
      </c>
      <c r="N72">
        <f t="shared" si="27"/>
        <v>12.32926224733463</v>
      </c>
      <c r="O72">
        <f>Feuil1!$I$16</f>
        <v>1.5</v>
      </c>
      <c r="P72">
        <f t="shared" si="28"/>
        <v>10.292960280207373</v>
      </c>
    </row>
    <row r="73" spans="1:16" ht="12.75">
      <c r="A73" s="35">
        <f t="shared" si="29"/>
        <v>28.539352753017898</v>
      </c>
      <c r="B73">
        <f t="shared" si="15"/>
        <v>0.285393527530179</v>
      </c>
      <c r="C73">
        <f t="shared" si="16"/>
        <v>-0.5445558805199083</v>
      </c>
      <c r="D73">
        <f t="shared" si="17"/>
        <v>-0.2533638855057576</v>
      </c>
      <c r="E73">
        <f t="shared" si="18"/>
        <v>0.12158596826028367</v>
      </c>
      <c r="F73">
        <f t="shared" si="19"/>
        <v>0.5580024611940058</v>
      </c>
      <c r="G73">
        <f t="shared" si="20"/>
        <v>1.3230795846810386</v>
      </c>
      <c r="H73">
        <f t="shared" si="21"/>
        <v>2.371099908502073</v>
      </c>
      <c r="I73">
        <f t="shared" si="22"/>
        <v>2.5696697703400004</v>
      </c>
      <c r="J73">
        <f t="shared" si="23"/>
        <v>3.8315391223926487</v>
      </c>
      <c r="K73">
        <f t="shared" si="24"/>
        <v>0.020616365900986186</v>
      </c>
      <c r="L73">
        <f t="shared" si="25"/>
        <v>0.03074029722532737</v>
      </c>
      <c r="M73">
        <f t="shared" si="26"/>
        <v>28.539352753017898</v>
      </c>
      <c r="N73">
        <f t="shared" si="27"/>
        <v>12.285351843723134</v>
      </c>
      <c r="O73">
        <f>Feuil1!$I$16</f>
        <v>1.5</v>
      </c>
      <c r="P73">
        <f t="shared" si="28"/>
        <v>10.262338574698102</v>
      </c>
    </row>
    <row r="74" spans="1:16" ht="12.75">
      <c r="A74" s="35">
        <f t="shared" si="29"/>
        <v>28.93404250227349</v>
      </c>
      <c r="B74">
        <f t="shared" si="15"/>
        <v>0.2893404250227349</v>
      </c>
      <c r="C74">
        <f t="shared" si="16"/>
        <v>-0.5385908849216368</v>
      </c>
      <c r="D74">
        <f t="shared" si="17"/>
        <v>-0.2636236779347847</v>
      </c>
      <c r="E74">
        <f t="shared" si="18"/>
        <v>0.11401042385047877</v>
      </c>
      <c r="F74">
        <f t="shared" si="19"/>
        <v>0.5449746762619262</v>
      </c>
      <c r="G74">
        <f t="shared" si="20"/>
        <v>1.300200784821518</v>
      </c>
      <c r="H74">
        <f t="shared" si="21"/>
        <v>2.385800371018734</v>
      </c>
      <c r="I74">
        <f t="shared" si="22"/>
        <v>2.5481825737865367</v>
      </c>
      <c r="J74">
        <f t="shared" si="23"/>
        <v>3.793804290872798</v>
      </c>
      <c r="K74">
        <f t="shared" si="24"/>
        <v>0.02044397491462454</v>
      </c>
      <c r="L74">
        <f t="shared" si="25"/>
        <v>0.03043755206219212</v>
      </c>
      <c r="M74">
        <f t="shared" si="26"/>
        <v>28.93404250227349</v>
      </c>
      <c r="N74">
        <f t="shared" si="27"/>
        <v>12.240412101368426</v>
      </c>
      <c r="O74">
        <f>Feuil1!$I$16</f>
        <v>1.5</v>
      </c>
      <c r="P74">
        <f t="shared" si="28"/>
        <v>10.230961696107494</v>
      </c>
    </row>
    <row r="75" spans="1:16" ht="12.75">
      <c r="A75" s="35">
        <f t="shared" si="29"/>
        <v>29.32873225152908</v>
      </c>
      <c r="B75">
        <f t="shared" si="15"/>
        <v>0.29328732251529077</v>
      </c>
      <c r="C75">
        <f t="shared" si="16"/>
        <v>-0.5327067092003088</v>
      </c>
      <c r="D75">
        <f t="shared" si="17"/>
        <v>-0.27374446017546883</v>
      </c>
      <c r="E75">
        <f t="shared" si="18"/>
        <v>0.10653752068439226</v>
      </c>
      <c r="F75">
        <f t="shared" si="19"/>
        <v>0.5324214450627685</v>
      </c>
      <c r="G75">
        <f t="shared" si="20"/>
        <v>1.278019618750416</v>
      </c>
      <c r="H75">
        <f t="shared" si="21"/>
        <v>2.4003909508185703</v>
      </c>
      <c r="I75">
        <f t="shared" si="22"/>
        <v>2.5274780758566404</v>
      </c>
      <c r="J75">
        <f t="shared" si="23"/>
        <v>3.757220091974857</v>
      </c>
      <c r="K75">
        <f t="shared" si="24"/>
        <v>0.020277863490485215</v>
      </c>
      <c r="L75">
        <f t="shared" si="25"/>
        <v>0.030144038382193226</v>
      </c>
      <c r="M75">
        <f t="shared" si="26"/>
        <v>29.32873225152908</v>
      </c>
      <c r="N75">
        <f t="shared" si="27"/>
        <v>12.194522325074802</v>
      </c>
      <c r="O75">
        <f>Feuil1!$I$16</f>
        <v>1.5</v>
      </c>
      <c r="P75">
        <f t="shared" si="28"/>
        <v>10.198882450042376</v>
      </c>
    </row>
    <row r="76" spans="1:16" ht="12.75">
      <c r="A76" s="35">
        <f t="shared" si="29"/>
        <v>29.72342200078467</v>
      </c>
      <c r="B76">
        <f t="shared" si="15"/>
        <v>0.2972342200078467</v>
      </c>
      <c r="C76">
        <f t="shared" si="16"/>
        <v>-0.5269011925391401</v>
      </c>
      <c r="D76">
        <f t="shared" si="17"/>
        <v>-0.2837299488326789</v>
      </c>
      <c r="E76">
        <f t="shared" si="18"/>
        <v>0.09916451452470798</v>
      </c>
      <c r="F76">
        <f t="shared" si="19"/>
        <v>0.5203194388063862</v>
      </c>
      <c r="G76">
        <f t="shared" si="20"/>
        <v>1.2565058488917868</v>
      </c>
      <c r="H76">
        <f t="shared" si="21"/>
        <v>2.414873931625952</v>
      </c>
      <c r="I76">
        <f t="shared" si="22"/>
        <v>2.5075177995335474</v>
      </c>
      <c r="J76">
        <f t="shared" si="23"/>
        <v>3.7217366537719396</v>
      </c>
      <c r="K76">
        <f t="shared" si="24"/>
        <v>0.0201177229288802</v>
      </c>
      <c r="L76">
        <f t="shared" si="25"/>
        <v>0.02985935606469856</v>
      </c>
      <c r="M76">
        <f t="shared" si="26"/>
        <v>29.72342200078467</v>
      </c>
      <c r="N76">
        <f t="shared" si="27"/>
        <v>12.147757318854106</v>
      </c>
      <c r="O76">
        <f>Feuil1!$I$16</f>
        <v>1.5</v>
      </c>
      <c r="P76">
        <f t="shared" si="28"/>
        <v>10.166150700030594</v>
      </c>
    </row>
    <row r="77" spans="1:16" ht="12.75">
      <c r="A77" s="35">
        <f t="shared" si="29"/>
        <v>30.11811175004026</v>
      </c>
      <c r="B77">
        <f t="shared" si="15"/>
        <v>0.3011811175004026</v>
      </c>
      <c r="C77">
        <f t="shared" si="16"/>
        <v>-0.5211722596374753</v>
      </c>
      <c r="D77">
        <f t="shared" si="17"/>
        <v>-0.2935837134235425</v>
      </c>
      <c r="E77">
        <f t="shared" si="18"/>
        <v>0.0918887697395937</v>
      </c>
      <c r="F77">
        <f t="shared" si="19"/>
        <v>0.5086467648271596</v>
      </c>
      <c r="G77">
        <f t="shared" si="20"/>
        <v>1.2356309266564194</v>
      </c>
      <c r="H77">
        <f t="shared" si="21"/>
        <v>2.429251520111982</v>
      </c>
      <c r="I77">
        <f t="shared" si="22"/>
        <v>2.4882656364525815</v>
      </c>
      <c r="J77">
        <f t="shared" si="23"/>
        <v>3.6873068900440233</v>
      </c>
      <c r="K77">
        <f t="shared" si="24"/>
        <v>0.01996326353372993</v>
      </c>
      <c r="L77">
        <f t="shared" si="25"/>
        <v>0.029583127338699538</v>
      </c>
      <c r="M77">
        <f t="shared" si="26"/>
        <v>30.11811175004026</v>
      </c>
      <c r="N77">
        <f t="shared" si="27"/>
        <v>12.100187647155739</v>
      </c>
      <c r="O77">
        <f>Feuil1!$I$16</f>
        <v>1.5</v>
      </c>
      <c r="P77">
        <f t="shared" si="28"/>
        <v>10.132813544892706</v>
      </c>
    </row>
    <row r="78" spans="1:16" ht="12.75">
      <c r="A78" s="35">
        <f t="shared" si="29"/>
        <v>30.51280149929585</v>
      </c>
      <c r="B78">
        <f t="shared" si="15"/>
        <v>0.3051280149929585</v>
      </c>
      <c r="C78">
        <f t="shared" si="16"/>
        <v>-0.5155179162569812</v>
      </c>
      <c r="D78">
        <f t="shared" si="17"/>
        <v>-0.30330918403799234</v>
      </c>
      <c r="E78">
        <f t="shared" si="18"/>
        <v>0.08470775364636618</v>
      </c>
      <c r="F78">
        <f t="shared" si="19"/>
        <v>0.4973828608257908</v>
      </c>
      <c r="G78">
        <f t="shared" si="20"/>
        <v>1.215367877509475</v>
      </c>
      <c r="H78">
        <f t="shared" si="21"/>
        <v>2.4435258494666137</v>
      </c>
      <c r="I78">
        <f t="shared" si="22"/>
        <v>2.4696876724703256</v>
      </c>
      <c r="J78">
        <f t="shared" si="23"/>
        <v>3.653886310715854</v>
      </c>
      <c r="K78">
        <f t="shared" si="24"/>
        <v>0.01981421321311116</v>
      </c>
      <c r="L78">
        <f t="shared" si="25"/>
        <v>0.0293149952619614</v>
      </c>
      <c r="M78">
        <f t="shared" si="26"/>
        <v>30.51280149929585</v>
      </c>
      <c r="N78">
        <f t="shared" si="27"/>
        <v>12.051879879627752</v>
      </c>
      <c r="O78">
        <f>Feuil1!$I$16</f>
        <v>1.5</v>
      </c>
      <c r="P78">
        <f t="shared" si="28"/>
        <v>10.09891548389676</v>
      </c>
    </row>
    <row r="79" spans="1:16" ht="12.75">
      <c r="A79" s="35">
        <f t="shared" si="29"/>
        <v>30.90749124855144</v>
      </c>
      <c r="B79">
        <f t="shared" si="15"/>
        <v>0.3090749124855144</v>
      </c>
      <c r="C79">
        <f t="shared" si="16"/>
        <v>-0.5099362450540702</v>
      </c>
      <c r="D79">
        <f t="shared" si="17"/>
        <v>-0.31290965850699926</v>
      </c>
      <c r="E79">
        <f t="shared" si="18"/>
        <v>0.0776190312186692</v>
      </c>
      <c r="F79">
        <f t="shared" si="19"/>
        <v>0.4865083981444627</v>
      </c>
      <c r="G79">
        <f t="shared" si="20"/>
        <v>1.1956911952244624</v>
      </c>
      <c r="H79">
        <f t="shared" si="21"/>
        <v>2.4576989827612734</v>
      </c>
      <c r="I79">
        <f t="shared" si="22"/>
        <v>2.4517520281328418</v>
      </c>
      <c r="J79">
        <f t="shared" si="23"/>
        <v>3.6214328474462056</v>
      </c>
      <c r="K79">
        <f t="shared" si="24"/>
        <v>0.019670316199339392</v>
      </c>
      <c r="L79">
        <f t="shared" si="25"/>
        <v>0.02905462232173229</v>
      </c>
      <c r="M79">
        <f t="shared" si="26"/>
        <v>30.90749124855144</v>
      </c>
      <c r="N79">
        <f t="shared" si="27"/>
        <v>12.00289682056265</v>
      </c>
      <c r="O79">
        <f>Feuil1!$I$16</f>
        <v>1.5</v>
      </c>
      <c r="P79">
        <f t="shared" si="28"/>
        <v>10.06449857066689</v>
      </c>
    </row>
    <row r="80" spans="1:16" ht="12.75">
      <c r="A80" s="35">
        <f t="shared" si="29"/>
        <v>31.30218099780703</v>
      </c>
      <c r="B80">
        <f t="shared" si="15"/>
        <v>0.31302180997807033</v>
      </c>
      <c r="C80">
        <f t="shared" si="16"/>
        <v>-0.5044254016767568</v>
      </c>
      <c r="D80">
        <f t="shared" si="17"/>
        <v>-0.3223883091159784</v>
      </c>
      <c r="E80">
        <f t="shared" si="18"/>
        <v>0.0706202601294812</v>
      </c>
      <c r="F80">
        <f t="shared" si="19"/>
        <v>0.47600519320009027</v>
      </c>
      <c r="G80">
        <f t="shared" si="20"/>
        <v>1.1765767444829005</v>
      </c>
      <c r="H80">
        <f t="shared" si="21"/>
        <v>2.4717729161167425</v>
      </c>
      <c r="I80">
        <f t="shared" si="22"/>
        <v>2.4344287125993382</v>
      </c>
      <c r="J80">
        <f t="shared" si="23"/>
        <v>3.589906692981981</v>
      </c>
      <c r="K80">
        <f t="shared" si="24"/>
        <v>0.019531331877003805</v>
      </c>
      <c r="L80">
        <f t="shared" si="25"/>
        <v>0.028801689145887106</v>
      </c>
      <c r="M80">
        <f t="shared" si="26"/>
        <v>31.30218099780703</v>
      </c>
      <c r="N80">
        <f t="shared" si="27"/>
        <v>11.953297724090111</v>
      </c>
      <c r="O80">
        <f>Feuil1!$I$16</f>
        <v>1.5</v>
      </c>
      <c r="P80">
        <f t="shared" si="28"/>
        <v>10.029602556727525</v>
      </c>
    </row>
    <row r="81" spans="1:16" ht="12.75">
      <c r="A81" s="35">
        <f t="shared" si="29"/>
        <v>31.696870747062622</v>
      </c>
      <c r="B81">
        <f t="shared" si="15"/>
        <v>0.3169687074706262</v>
      </c>
      <c r="C81">
        <f t="shared" si="16"/>
        <v>-0.49898361110606626</v>
      </c>
      <c r="D81">
        <f t="shared" si="17"/>
        <v>-0.33174818889756597</v>
      </c>
      <c r="E81">
        <f t="shared" si="18"/>
        <v>0.06370918610470422</v>
      </c>
      <c r="F81">
        <f t="shared" si="19"/>
        <v>0.4658561262949931</v>
      </c>
      <c r="G81">
        <f t="shared" si="20"/>
        <v>1.1580016710654637</v>
      </c>
      <c r="H81">
        <f t="shared" si="21"/>
        <v>2.4857495816899156</v>
      </c>
      <c r="I81">
        <f t="shared" si="22"/>
        <v>2.41768948973367</v>
      </c>
      <c r="J81">
        <f t="shared" si="23"/>
        <v>3.559270153033223</v>
      </c>
      <c r="K81">
        <f t="shared" si="24"/>
        <v>0.019397033708624327</v>
      </c>
      <c r="L81">
        <f t="shared" si="25"/>
        <v>0.028555893314526175</v>
      </c>
      <c r="M81">
        <f t="shared" si="26"/>
        <v>31.696870747062622</v>
      </c>
      <c r="N81">
        <f t="shared" si="27"/>
        <v>11.903138496096663</v>
      </c>
      <c r="O81">
        <f>Feuil1!$I$16</f>
        <v>1.5</v>
      </c>
      <c r="P81">
        <f t="shared" si="28"/>
        <v>9.994265025486346</v>
      </c>
    </row>
    <row r="82" spans="1:16" ht="12.75">
      <c r="A82" s="35">
        <f t="shared" si="29"/>
        <v>32.09156049631821</v>
      </c>
      <c r="B82">
        <f t="shared" si="15"/>
        <v>0.3209156049631821</v>
      </c>
      <c r="C82">
        <f t="shared" si="16"/>
        <v>-0.4936091642238368</v>
      </c>
      <c r="D82">
        <f t="shared" si="17"/>
        <v>-0.34099223753500063</v>
      </c>
      <c r="E82">
        <f t="shared" si="18"/>
        <v>0.05688363856427281</v>
      </c>
      <c r="F82">
        <f t="shared" si="19"/>
        <v>0.45604506710767145</v>
      </c>
      <c r="G82">
        <f t="shared" si="20"/>
        <v>1.1399443189569844</v>
      </c>
      <c r="H82">
        <f t="shared" si="21"/>
        <v>2.4996308504919003</v>
      </c>
      <c r="I82">
        <f t="shared" si="22"/>
        <v>2.401507755213587</v>
      </c>
      <c r="J82">
        <f t="shared" si="23"/>
        <v>3.5294875095513993</v>
      </c>
      <c r="K82">
        <f t="shared" si="24"/>
        <v>0.019267208248703652</v>
      </c>
      <c r="L82">
        <f t="shared" si="25"/>
        <v>0.02831694826306197</v>
      </c>
      <c r="M82">
        <f t="shared" si="26"/>
        <v>32.09156049631821</v>
      </c>
      <c r="N82">
        <f t="shared" si="27"/>
        <v>11.85247188377616</v>
      </c>
      <c r="O82">
        <f>Feuil1!$I$16</f>
        <v>1.5</v>
      </c>
      <c r="P82">
        <f t="shared" si="28"/>
        <v>9.958521517387569</v>
      </c>
    </row>
    <row r="83" spans="1:16" ht="12.75">
      <c r="A83" s="35">
        <f t="shared" si="29"/>
        <v>32.4862502455738</v>
      </c>
      <c r="B83">
        <f t="shared" si="15"/>
        <v>0.324862502455738</v>
      </c>
      <c r="C83">
        <f t="shared" si="16"/>
        <v>-0.4883004145903072</v>
      </c>
      <c r="D83">
        <f t="shared" si="17"/>
        <v>-0.35012328690467154</v>
      </c>
      <c r="E83">
        <f t="shared" si="18"/>
        <v>0.05014152652969017</v>
      </c>
      <c r="F83">
        <f t="shared" si="19"/>
        <v>0.4465568062399114</v>
      </c>
      <c r="G83">
        <f t="shared" si="20"/>
        <v>1.1223841537556416</v>
      </c>
      <c r="H83">
        <f t="shared" si="21"/>
        <v>2.5134185350489178</v>
      </c>
      <c r="I83">
        <f t="shared" si="22"/>
        <v>2.3858584236289</v>
      </c>
      <c r="J83">
        <f t="shared" si="23"/>
        <v>3.5005248944054093</v>
      </c>
      <c r="K83">
        <f t="shared" si="24"/>
        <v>0.019141654237919973</v>
      </c>
      <c r="L83">
        <f t="shared" si="25"/>
        <v>0.028084582268726375</v>
      </c>
      <c r="M83">
        <f t="shared" si="26"/>
        <v>32.4862502455738</v>
      </c>
      <c r="N83">
        <f t="shared" si="27"/>
        <v>11.801347653646266</v>
      </c>
      <c r="O83">
        <f>Feuil1!$I$16</f>
        <v>1.5</v>
      </c>
      <c r="P83">
        <f t="shared" si="28"/>
        <v>9.922405646903174</v>
      </c>
    </row>
    <row r="84" spans="1:16" ht="12.75">
      <c r="A84" s="35">
        <f t="shared" si="29"/>
        <v>32.88093999482939</v>
      </c>
      <c r="B84">
        <f t="shared" si="15"/>
        <v>0.3288093999482939</v>
      </c>
      <c r="C84">
        <f t="shared" si="16"/>
        <v>-0.4830557754162909</v>
      </c>
      <c r="D84">
        <f t="shared" si="17"/>
        <v>-0.35914406628397955</v>
      </c>
      <c r="E84">
        <f t="shared" si="18"/>
        <v>0.04348083477868947</v>
      </c>
      <c r="F84">
        <f t="shared" si="19"/>
        <v>0.43737699226145205</v>
      </c>
      <c r="G84">
        <f t="shared" si="20"/>
        <v>1.1053016918371121</v>
      </c>
      <c r="H84">
        <f t="shared" si="21"/>
        <v>2.527114391916603</v>
      </c>
      <c r="I84">
        <f t="shared" si="22"/>
        <v>2.3707178246469747</v>
      </c>
      <c r="J84">
        <f t="shared" si="23"/>
        <v>3.4723501725494574</v>
      </c>
      <c r="K84">
        <f t="shared" si="24"/>
        <v>0.019020181770066574</v>
      </c>
      <c r="L84">
        <f t="shared" si="25"/>
        <v>0.02785853751323082</v>
      </c>
      <c r="M84">
        <f t="shared" si="26"/>
        <v>32.88093999482939</v>
      </c>
      <c r="N84">
        <f t="shared" si="27"/>
        <v>11.7498127588032</v>
      </c>
      <c r="O84">
        <f>Feuil1!$I$16</f>
        <v>1.5</v>
      </c>
      <c r="P84">
        <f t="shared" si="28"/>
        <v>9.885949211972148</v>
      </c>
    </row>
    <row r="85" spans="1:16" ht="12.75">
      <c r="A85" s="35">
        <f t="shared" si="29"/>
        <v>33.27562974408498</v>
      </c>
      <c r="B85">
        <f t="shared" si="15"/>
        <v>0.3327562974408498</v>
      </c>
      <c r="C85">
        <f t="shared" si="16"/>
        <v>-0.47787371671600254</v>
      </c>
      <c r="D85">
        <f t="shared" si="17"/>
        <v>-0.36805720724847557</v>
      </c>
      <c r="E85">
        <f t="shared" si="18"/>
        <v>0.03689962022932325</v>
      </c>
      <c r="F85">
        <f t="shared" si="19"/>
        <v>0.42849207375098736</v>
      </c>
      <c r="G85">
        <f t="shared" si="20"/>
        <v>1.088678434778224</v>
      </c>
      <c r="H85">
        <f t="shared" si="21"/>
        <v>2.5407201240574064</v>
      </c>
      <c r="I85">
        <f t="shared" si="22"/>
        <v>2.3560636074188595</v>
      </c>
      <c r="J85">
        <f t="shared" si="23"/>
        <v>3.4449328338656153</v>
      </c>
      <c r="K85">
        <f t="shared" si="24"/>
        <v>0.018902611525105726</v>
      </c>
      <c r="L85">
        <f t="shared" si="25"/>
        <v>0.027638569215023164</v>
      </c>
      <c r="M85">
        <f t="shared" si="26"/>
        <v>33.27562974408498</v>
      </c>
      <c r="N85">
        <f t="shared" si="27"/>
        <v>11.69791149612914</v>
      </c>
      <c r="O85">
        <f>Feuil1!$I$16</f>
        <v>1.5</v>
      </c>
      <c r="P85">
        <f t="shared" si="28"/>
        <v>9.849182296445475</v>
      </c>
    </row>
    <row r="86" spans="1:16" ht="12.75">
      <c r="A86" s="35">
        <f t="shared" si="29"/>
        <v>33.67031949334057</v>
      </c>
      <c r="B86">
        <f t="shared" si="15"/>
        <v>0.3367031949334057</v>
      </c>
      <c r="C86">
        <f t="shared" si="16"/>
        <v>-0.4727527626277563</v>
      </c>
      <c r="D86">
        <f t="shared" si="17"/>
        <v>-0.37686524828025914</v>
      </c>
      <c r="E86">
        <f t="shared" si="18"/>
        <v>0.030396008537250552</v>
      </c>
      <c r="F86">
        <f t="shared" si="19"/>
        <v>0.4198892458832947</v>
      </c>
      <c r="G86">
        <f t="shared" si="20"/>
        <v>1.072496808592622</v>
      </c>
      <c r="H86">
        <f t="shared" si="21"/>
        <v>2.5542373830900997</v>
      </c>
      <c r="I86">
        <f t="shared" si="22"/>
        <v>2.3418746524835075</v>
      </c>
      <c r="J86">
        <f t="shared" si="23"/>
        <v>3.418243892943009</v>
      </c>
      <c r="K86">
        <f t="shared" si="24"/>
        <v>0.018788774062379488</v>
      </c>
      <c r="L86">
        <f t="shared" si="25"/>
        <v>0.02742444482521978</v>
      </c>
      <c r="M86">
        <f t="shared" si="26"/>
        <v>33.67031949334057</v>
      </c>
      <c r="N86">
        <f t="shared" si="27"/>
        <v>11.645685654114123</v>
      </c>
      <c r="O86">
        <f>Feuil1!$I$16</f>
        <v>1.5</v>
      </c>
      <c r="P86">
        <f t="shared" si="28"/>
        <v>9.812133366047773</v>
      </c>
    </row>
    <row r="87" spans="1:16" ht="12.75">
      <c r="A87" s="35">
        <f t="shared" si="29"/>
        <v>34.06500924259616</v>
      </c>
      <c r="B87">
        <f t="shared" si="15"/>
        <v>0.3406500924259616</v>
      </c>
      <c r="C87">
        <f t="shared" si="16"/>
        <v>-0.4676914888907962</v>
      </c>
      <c r="D87">
        <f t="shared" si="17"/>
        <v>-0.3855706391078305</v>
      </c>
      <c r="E87">
        <f t="shared" si="18"/>
        <v>0.023968190891311192</v>
      </c>
      <c r="F87">
        <f t="shared" si="19"/>
        <v>0.4115564011575685</v>
      </c>
      <c r="G87">
        <f t="shared" si="20"/>
        <v>1.056740107373758</v>
      </c>
      <c r="H87">
        <f t="shared" si="21"/>
        <v>2.5676677714196807</v>
      </c>
      <c r="I87">
        <f t="shared" si="22"/>
        <v>2.3281309905022387</v>
      </c>
      <c r="J87">
        <f t="shared" si="23"/>
        <v>3.392255796126162</v>
      </c>
      <c r="K87">
        <f t="shared" si="24"/>
        <v>0.018678509168619302</v>
      </c>
      <c r="L87">
        <f t="shared" si="25"/>
        <v>0.027215943281857856</v>
      </c>
      <c r="M87">
        <f t="shared" si="26"/>
        <v>34.06500924259616</v>
      </c>
      <c r="N87">
        <f t="shared" si="27"/>
        <v>11.593174651905665</v>
      </c>
      <c r="O87">
        <f>Feuil1!$I$16</f>
        <v>1.5</v>
      </c>
      <c r="P87">
        <f t="shared" si="28"/>
        <v>9.774829358323846</v>
      </c>
    </row>
    <row r="88" spans="1:16" ht="12.75">
      <c r="A88" s="35">
        <f t="shared" si="29"/>
        <v>34.45969899185175</v>
      </c>
      <c r="B88">
        <f t="shared" si="15"/>
        <v>0.3445969899185175</v>
      </c>
      <c r="C88">
        <f t="shared" si="16"/>
        <v>-0.4626885204674663</v>
      </c>
      <c r="D88">
        <f t="shared" si="17"/>
        <v>-0.39417574479595796</v>
      </c>
      <c r="E88">
        <f t="shared" si="18"/>
        <v>0.017614420993682267</v>
      </c>
      <c r="F88">
        <f t="shared" si="19"/>
        <v>0.4034820839023167</v>
      </c>
      <c r="G88">
        <f t="shared" si="20"/>
        <v>1.041392440978788</v>
      </c>
      <c r="H88">
        <f t="shared" si="21"/>
        <v>2.581012844255335</v>
      </c>
      <c r="I88">
        <f t="shared" si="22"/>
        <v>2.3148137272220164</v>
      </c>
      <c r="J88">
        <f t="shared" si="23"/>
        <v>3.366942335228165</v>
      </c>
      <c r="K88">
        <f t="shared" si="24"/>
        <v>0.01857166525592911</v>
      </c>
      <c r="L88">
        <f t="shared" si="25"/>
        <v>0.027012854317619326</v>
      </c>
      <c r="M88">
        <f t="shared" si="26"/>
        <v>34.45969899185175</v>
      </c>
      <c r="N88">
        <f t="shared" si="27"/>
        <v>11.540415670155191</v>
      </c>
      <c r="O88">
        <f>Feuil1!$I$16</f>
        <v>1.5</v>
      </c>
      <c r="P88">
        <f t="shared" si="28"/>
        <v>9.737295766999814</v>
      </c>
    </row>
    <row r="89" spans="1:16" ht="12.75">
      <c r="A89" s="35">
        <f t="shared" si="29"/>
        <v>34.85438874110734</v>
      </c>
      <c r="B89">
        <f t="shared" si="15"/>
        <v>0.34854388741107345</v>
      </c>
      <c r="C89">
        <f t="shared" si="16"/>
        <v>-0.45774252930078896</v>
      </c>
      <c r="D89">
        <f t="shared" si="17"/>
        <v>-0.402682849602643</v>
      </c>
      <c r="E89">
        <f t="shared" si="18"/>
        <v>0.011333012212002003</v>
      </c>
      <c r="F89">
        <f t="shared" si="19"/>
        <v>0.3956554482280321</v>
      </c>
      <c r="G89">
        <f t="shared" si="20"/>
        <v>1.0264386864212314</v>
      </c>
      <c r="H89">
        <f t="shared" si="21"/>
        <v>2.5942741115235535</v>
      </c>
      <c r="I89">
        <f t="shared" si="22"/>
        <v>2.3019049741252715</v>
      </c>
      <c r="J89">
        <f t="shared" si="23"/>
        <v>3.342278567360823</v>
      </c>
      <c r="K89">
        <f t="shared" si="24"/>
        <v>0.01846809880539147</v>
      </c>
      <c r="L89">
        <f t="shared" si="25"/>
        <v>0.026814977816631096</v>
      </c>
      <c r="M89">
        <f t="shared" si="26"/>
        <v>34.85438874110734</v>
      </c>
      <c r="N89">
        <f t="shared" si="27"/>
        <v>11.487443774188982</v>
      </c>
      <c r="O89">
        <f>Feuil1!$I$16</f>
        <v>1.5</v>
      </c>
      <c r="P89">
        <f t="shared" si="28"/>
        <v>9.69955672115356</v>
      </c>
    </row>
    <row r="90" spans="1:16" ht="12.75">
      <c r="A90" s="35">
        <f t="shared" si="29"/>
        <v>35.24907849036293</v>
      </c>
      <c r="B90">
        <f t="shared" si="15"/>
        <v>0.35249078490362934</v>
      </c>
      <c r="C90">
        <f t="shared" si="16"/>
        <v>-0.452852232198302</v>
      </c>
      <c r="D90">
        <f t="shared" si="17"/>
        <v>-0.41109416061892046</v>
      </c>
      <c r="E90">
        <f t="shared" si="18"/>
        <v>0.005122334891843661</v>
      </c>
      <c r="F90">
        <f t="shared" si="19"/>
        <v>0.38806621913082084</v>
      </c>
      <c r="G90">
        <f t="shared" si="20"/>
        <v>1.0118644426709429</v>
      </c>
      <c r="H90">
        <f t="shared" si="21"/>
        <v>2.6074530396829867</v>
      </c>
      <c r="I90">
        <f t="shared" si="22"/>
        <v>2.289387784276712</v>
      </c>
      <c r="J90">
        <f t="shared" si="23"/>
        <v>3.3182407403846175</v>
      </c>
      <c r="K90">
        <f t="shared" si="24"/>
        <v>0.018367673852368864</v>
      </c>
      <c r="L90">
        <f t="shared" si="25"/>
        <v>0.026622123216352836</v>
      </c>
      <c r="M90">
        <f t="shared" si="26"/>
        <v>35.24907849036293</v>
      </c>
      <c r="N90">
        <f t="shared" si="27"/>
        <v>11.434292029994461</v>
      </c>
      <c r="O90">
        <f>Feuil1!$I$16</f>
        <v>1.5</v>
      </c>
      <c r="P90">
        <f t="shared" si="28"/>
        <v>9.661635059557582</v>
      </c>
    </row>
    <row r="91" spans="1:16" ht="12.75">
      <c r="A91" s="35">
        <f t="shared" si="29"/>
        <v>35.643768239618524</v>
      </c>
      <c r="B91">
        <f t="shared" si="15"/>
        <v>0.35643768239618523</v>
      </c>
      <c r="C91">
        <f t="shared" si="16"/>
        <v>-0.44801638883371875</v>
      </c>
      <c r="D91">
        <f t="shared" si="17"/>
        <v>-0.4194118112060037</v>
      </c>
      <c r="E91">
        <f t="shared" si="18"/>
        <v>-0.0010191861811771341</v>
      </c>
      <c r="F91">
        <f t="shared" si="19"/>
        <v>0.38070465647871804</v>
      </c>
      <c r="G91">
        <f t="shared" si="20"/>
        <v>0.9976559885875188</v>
      </c>
      <c r="H91">
        <f t="shared" si="21"/>
        <v>2.6205510534470946</v>
      </c>
      <c r="I91">
        <f t="shared" si="22"/>
        <v>2.2772460929246487</v>
      </c>
      <c r="J91">
        <f t="shared" si="23"/>
        <v>3.2948062235267574</v>
      </c>
      <c r="K91">
        <f t="shared" si="24"/>
        <v>0.018270261509950304</v>
      </c>
      <c r="L91">
        <f t="shared" si="25"/>
        <v>0.02643410895092816</v>
      </c>
      <c r="M91">
        <f t="shared" si="26"/>
        <v>35.643768239618524</v>
      </c>
      <c r="N91">
        <f t="shared" si="27"/>
        <v>11.380991613477617</v>
      </c>
      <c r="O91">
        <f>Feuil1!$I$16</f>
        <v>1.5</v>
      </c>
      <c r="P91">
        <f t="shared" si="28"/>
        <v>9.623552400528142</v>
      </c>
    </row>
    <row r="92" spans="1:16" ht="12.75">
      <c r="A92" s="35">
        <f t="shared" si="29"/>
        <v>36.038457988874114</v>
      </c>
      <c r="B92">
        <f t="shared" si="15"/>
        <v>0.3603845798887411</v>
      </c>
      <c r="C92">
        <f t="shared" si="16"/>
        <v>-0.44323379985862565</v>
      </c>
      <c r="D92">
        <f t="shared" si="17"/>
        <v>-0.42763786424316386</v>
      </c>
      <c r="E92">
        <f t="shared" si="18"/>
        <v>-0.007093074179545411</v>
      </c>
      <c r="F92">
        <f t="shared" si="19"/>
        <v>0.37356152163793466</v>
      </c>
      <c r="G92">
        <f t="shared" si="20"/>
        <v>0.98380024373803</v>
      </c>
      <c r="H92">
        <f t="shared" si="21"/>
        <v>2.633569537420276</v>
      </c>
      <c r="I92">
        <f t="shared" si="22"/>
        <v>2.2654646624564605</v>
      </c>
      <c r="J92">
        <f t="shared" si="23"/>
        <v>3.271953442756444</v>
      </c>
      <c r="K92">
        <f t="shared" si="24"/>
        <v>0.018175739527331092</v>
      </c>
      <c r="L92">
        <f t="shared" si="25"/>
        <v>0.026250761932702753</v>
      </c>
      <c r="M92">
        <f t="shared" si="26"/>
        <v>36.038457988874114</v>
      </c>
      <c r="N92">
        <f t="shared" si="27"/>
        <v>11.327571913415492</v>
      </c>
      <c r="O92">
        <f>Feuil1!$I$16</f>
        <v>1.5</v>
      </c>
      <c r="P92">
        <f t="shared" si="28"/>
        <v>9.585329207588796</v>
      </c>
    </row>
    <row r="93" spans="1:16" ht="12.75">
      <c r="A93" s="35">
        <f t="shared" si="29"/>
        <v>36.433147738129705</v>
      </c>
      <c r="B93">
        <f t="shared" si="15"/>
        <v>0.36433147738129706</v>
      </c>
      <c r="C93">
        <f t="shared" si="16"/>
        <v>-0.4385033051170256</v>
      </c>
      <c r="D93">
        <f t="shared" si="17"/>
        <v>-0.4357743151987159</v>
      </c>
      <c r="E93">
        <f t="shared" si="18"/>
        <v>-0.013100802501377351</v>
      </c>
      <c r="F93">
        <f t="shared" si="19"/>
        <v>0.3666280465191234</v>
      </c>
      <c r="G93">
        <f t="shared" si="20"/>
        <v>0.9702847318722524</v>
      </c>
      <c r="H93">
        <f t="shared" si="21"/>
        <v>2.6465098376527014</v>
      </c>
      <c r="I93">
        <f t="shared" si="22"/>
        <v>2.25402903134548</v>
      </c>
      <c r="J93">
        <f t="shared" si="23"/>
        <v>3.249661820543252</v>
      </c>
      <c r="K93">
        <f t="shared" si="24"/>
        <v>0.018083991880215533</v>
      </c>
      <c r="L93">
        <f t="shared" si="25"/>
        <v>0.026071917068908095</v>
      </c>
      <c r="M93">
        <f t="shared" si="26"/>
        <v>36.433147738129705</v>
      </c>
      <c r="N93">
        <f t="shared" si="27"/>
        <v>11.274060628498654</v>
      </c>
      <c r="O93">
        <f>Feuil1!$I$16</f>
        <v>1.5</v>
      </c>
      <c r="P93">
        <f t="shared" si="28"/>
        <v>9.546984851232013</v>
      </c>
    </row>
    <row r="94" spans="1:16" ht="12.75">
      <c r="A94" s="35">
        <f t="shared" si="29"/>
        <v>36.827837487385295</v>
      </c>
      <c r="B94">
        <f t="shared" si="15"/>
        <v>0.36827837487385295</v>
      </c>
      <c r="C94">
        <f t="shared" si="16"/>
        <v>-0.43382378195607796</v>
      </c>
      <c r="D94">
        <f t="shared" si="17"/>
        <v>-0.44382309503554584</v>
      </c>
      <c r="E94">
        <f t="shared" si="18"/>
        <v>-0.019043796915780953</v>
      </c>
      <c r="F94">
        <f t="shared" si="19"/>
        <v>0.35989590484422135</v>
      </c>
      <c r="G94">
        <f t="shared" si="20"/>
        <v>0.9570975468486419</v>
      </c>
      <c r="H94">
        <f t="shared" si="21"/>
        <v>2.659373263118722</v>
      </c>
      <c r="I94">
        <f t="shared" si="22"/>
        <v>2.2429254667603615</v>
      </c>
      <c r="J94">
        <f t="shared" si="23"/>
        <v>3.2279117196576075</v>
      </c>
      <c r="K94">
        <f t="shared" si="24"/>
        <v>0.017994908390603657</v>
      </c>
      <c r="L94">
        <f t="shared" si="25"/>
        <v>0.025897416810774735</v>
      </c>
      <c r="M94">
        <f t="shared" si="26"/>
        <v>36.827837487385295</v>
      </c>
      <c r="N94">
        <f t="shared" si="27"/>
        <v>11.2204838588309</v>
      </c>
      <c r="O94">
        <f>Feuil1!$I$16</f>
        <v>1.5</v>
      </c>
      <c r="P94">
        <f t="shared" si="28"/>
        <v>9.508537667040965</v>
      </c>
    </row>
    <row r="95" spans="1:16" ht="12.75">
      <c r="A95" s="35">
        <f t="shared" si="29"/>
        <v>37.222527236640886</v>
      </c>
      <c r="B95">
        <f t="shared" si="15"/>
        <v>0.37222527236640884</v>
      </c>
      <c r="C95">
        <f t="shared" si="16"/>
        <v>-0.4291941436268806</v>
      </c>
      <c r="D95">
        <f t="shared" si="17"/>
        <v>-0.4517860729617653</v>
      </c>
      <c r="E95">
        <f t="shared" si="18"/>
        <v>-0.02492343759386162</v>
      </c>
      <c r="F95">
        <f t="shared" si="19"/>
        <v>0.3533571854527963</v>
      </c>
      <c r="G95">
        <f t="shared" si="20"/>
        <v>0.9442273208224108</v>
      </c>
      <c r="H95">
        <f t="shared" si="21"/>
        <v>2.672161087123405</v>
      </c>
      <c r="I95">
        <f t="shared" si="22"/>
        <v>2.232140920538269</v>
      </c>
      <c r="J95">
        <f t="shared" si="23"/>
        <v>3.206684390702232</v>
      </c>
      <c r="K95">
        <f t="shared" si="24"/>
        <v>0.017908384373565723</v>
      </c>
      <c r="L95">
        <f t="shared" si="25"/>
        <v>0.025727110732579047</v>
      </c>
      <c r="M95">
        <f t="shared" si="26"/>
        <v>37.222527236640886</v>
      </c>
      <c r="N95">
        <f t="shared" si="27"/>
        <v>11.166866192228989</v>
      </c>
      <c r="O95">
        <f>Feuil1!$I$16</f>
        <v>1.5</v>
      </c>
      <c r="P95">
        <f t="shared" si="28"/>
        <v>9.470005010413669</v>
      </c>
    </row>
    <row r="96" spans="1:16" ht="12.75">
      <c r="A96" s="35">
        <f t="shared" si="29"/>
        <v>37.617216985896476</v>
      </c>
      <c r="B96">
        <f t="shared" si="15"/>
        <v>0.3761721698589648</v>
      </c>
      <c r="C96">
        <f t="shared" si="16"/>
        <v>-0.4246133377695973</v>
      </c>
      <c r="D96">
        <f t="shared" si="17"/>
        <v>-0.4596650590362926</v>
      </c>
      <c r="E96">
        <f t="shared" si="18"/>
        <v>-0.030741061032611317</v>
      </c>
      <c r="F96">
        <f t="shared" si="19"/>
        <v>0.3470043674833298</v>
      </c>
      <c r="G96">
        <f t="shared" si="20"/>
        <v>0.9316631945233963</v>
      </c>
      <c r="H96">
        <f t="shared" si="21"/>
        <v>2.6848745486413903</v>
      </c>
      <c r="I96">
        <f t="shared" si="22"/>
        <v>2.2216629882504724</v>
      </c>
      <c r="J96">
        <f t="shared" si="23"/>
        <v>3.185961923090359</v>
      </c>
      <c r="K96">
        <f t="shared" si="24"/>
        <v>0.017824320308827014</v>
      </c>
      <c r="L96">
        <f t="shared" si="25"/>
        <v>0.025560855138343226</v>
      </c>
      <c r="M96">
        <f t="shared" si="26"/>
        <v>37.617216985896476</v>
      </c>
      <c r="N96">
        <f t="shared" si="27"/>
        <v>11.113230785641345</v>
      </c>
      <c r="O96">
        <f>Feuil1!$I$16</f>
        <v>1.5</v>
      </c>
      <c r="P96">
        <f t="shared" si="28"/>
        <v>9.431403308113163</v>
      </c>
    </row>
    <row r="97" spans="1:16" ht="12.75">
      <c r="A97" s="35">
        <f t="shared" si="29"/>
        <v>38.01190673515207</v>
      </c>
      <c r="B97">
        <f t="shared" si="15"/>
        <v>0.3801190673515207</v>
      </c>
      <c r="C97">
        <f t="shared" si="16"/>
        <v>-0.4200803449776472</v>
      </c>
      <c r="D97">
        <f t="shared" si="17"/>
        <v>-0.46746180663844683</v>
      </c>
      <c r="E97">
        <f t="shared" si="18"/>
        <v>-0.03649796187838805</v>
      </c>
      <c r="F97">
        <f t="shared" si="19"/>
        <v>0.34083029727971115</v>
      </c>
      <c r="G97">
        <f t="shared" si="20"/>
        <v>0.919394789466201</v>
      </c>
      <c r="H97">
        <f t="shared" si="21"/>
        <v>2.6975148535920095</v>
      </c>
      <c r="I97">
        <f t="shared" si="22"/>
        <v>2.211479871113393</v>
      </c>
      <c r="J97">
        <f t="shared" si="23"/>
        <v>3.165727199210911</v>
      </c>
      <c r="K97">
        <f t="shared" si="24"/>
        <v>0.017742621535181538</v>
      </c>
      <c r="L97">
        <f t="shared" si="25"/>
        <v>0.0253985126941042</v>
      </c>
      <c r="M97">
        <f t="shared" si="26"/>
        <v>38.01190673515207</v>
      </c>
      <c r="N97">
        <f t="shared" si="27"/>
        <v>11.059599441983847</v>
      </c>
      <c r="O97">
        <f>Feuil1!$I$16</f>
        <v>1.5</v>
      </c>
      <c r="P97">
        <f t="shared" si="28"/>
        <v>9.392748106851043</v>
      </c>
    </row>
    <row r="98" spans="1:16" ht="12.75">
      <c r="A98" s="35">
        <f t="shared" si="29"/>
        <v>38.40659648440766</v>
      </c>
      <c r="B98">
        <f t="shared" si="15"/>
        <v>0.38406596484407657</v>
      </c>
      <c r="C98">
        <f t="shared" si="16"/>
        <v>-0.41559417743605437</v>
      </c>
      <c r="D98">
        <f t="shared" si="17"/>
        <v>-0.47517801480998645</v>
      </c>
      <c r="E98">
        <f t="shared" si="18"/>
        <v>-0.042195394656210916</v>
      </c>
      <c r="F98">
        <f t="shared" si="19"/>
        <v>0.33482816688658185</v>
      </c>
      <c r="G98">
        <f t="shared" si="20"/>
        <v>0.9074121819484416</v>
      </c>
      <c r="H98">
        <f t="shared" si="21"/>
        <v>2.710083176054344</v>
      </c>
      <c r="I98">
        <f t="shared" si="22"/>
        <v>2.201580340520198</v>
      </c>
      <c r="J98">
        <f t="shared" si="23"/>
        <v>3.1459638515428736</v>
      </c>
      <c r="K98">
        <f t="shared" si="24"/>
        <v>0.017663197965930338</v>
      </c>
      <c r="L98">
        <f t="shared" si="25"/>
        <v>0.025239952083843862</v>
      </c>
      <c r="M98">
        <f t="shared" si="26"/>
        <v>38.40659648440766</v>
      </c>
      <c r="N98">
        <f t="shared" si="27"/>
        <v>11.005992682670696</v>
      </c>
      <c r="O98">
        <f>Feuil1!$I$16</f>
        <v>1.5</v>
      </c>
      <c r="P98">
        <f t="shared" si="28"/>
        <v>9.354054119096139</v>
      </c>
    </row>
    <row r="99" spans="1:16" ht="12.75">
      <c r="A99" s="35">
        <f t="shared" si="29"/>
        <v>38.80128623366325</v>
      </c>
      <c r="B99">
        <f t="shared" si="15"/>
        <v>0.38801286233663246</v>
      </c>
      <c r="C99">
        <f t="shared" si="16"/>
        <v>-0.4111538776294106</v>
      </c>
      <c r="D99">
        <f t="shared" si="17"/>
        <v>-0.48281533047741376</v>
      </c>
      <c r="E99">
        <f t="shared" si="18"/>
        <v>-0.047834575410648505</v>
      </c>
      <c r="F99">
        <f t="shared" si="19"/>
        <v>0.3289914940092266</v>
      </c>
      <c r="G99">
        <f t="shared" si="20"/>
        <v>0.8957058787050551</v>
      </c>
      <c r="H99">
        <f t="shared" si="21"/>
        <v>2.722580659425605</v>
      </c>
      <c r="I99">
        <f t="shared" si="22"/>
        <v>2.191953704987923</v>
      </c>
      <c r="J99">
        <f t="shared" si="23"/>
        <v>3.126656222501062</v>
      </c>
      <c r="K99">
        <f t="shared" si="24"/>
        <v>0.017585963823699462</v>
      </c>
      <c r="L99">
        <f t="shared" si="25"/>
        <v>0.02508504768733309</v>
      </c>
      <c r="M99">
        <f t="shared" si="26"/>
        <v>38.80128623366325</v>
      </c>
      <c r="N99">
        <f t="shared" si="27"/>
        <v>10.952429816099773</v>
      </c>
      <c r="O99">
        <f>Feuil1!$I$16</f>
        <v>1.5</v>
      </c>
      <c r="P99">
        <f t="shared" si="28"/>
        <v>9.315335266286192</v>
      </c>
    </row>
    <row r="100" spans="1:16" ht="12.75">
      <c r="A100" s="35">
        <f t="shared" si="29"/>
        <v>39.19597598291884</v>
      </c>
      <c r="B100">
        <f t="shared" si="15"/>
        <v>0.3919597598291884</v>
      </c>
      <c r="C100">
        <f t="shared" si="16"/>
        <v>-0.40675851711522204</v>
      </c>
      <c r="D100">
        <f t="shared" si="17"/>
        <v>-0.490375350561818</v>
      </c>
      <c r="E100">
        <f t="shared" si="18"/>
        <v>-0.053416683263668</v>
      </c>
      <c r="F100">
        <f t="shared" si="19"/>
        <v>0.32331410332457566</v>
      </c>
      <c r="G100">
        <f t="shared" si="20"/>
        <v>0.8842667940976062</v>
      </c>
      <c r="H100">
        <f t="shared" si="21"/>
        <v>2.7350084175260645</v>
      </c>
      <c r="I100">
        <f t="shared" si="22"/>
        <v>2.182589779333032</v>
      </c>
      <c r="J100">
        <f t="shared" si="23"/>
        <v>3.107789326813621</v>
      </c>
      <c r="K100">
        <f t="shared" si="24"/>
        <v>0.017510837393136625</v>
      </c>
      <c r="L100">
        <f t="shared" si="25"/>
        <v>0.024933679278287844</v>
      </c>
      <c r="M100">
        <f t="shared" si="26"/>
        <v>39.19597598291884</v>
      </c>
      <c r="N100">
        <f t="shared" si="27"/>
        <v>10.89892900233535</v>
      </c>
      <c r="O100">
        <f>Feuil1!$I$16</f>
        <v>1.5</v>
      </c>
      <c r="P100">
        <f t="shared" si="28"/>
        <v>9.276604719607604</v>
      </c>
    </row>
    <row r="101" spans="1:16" ht="12.75">
      <c r="A101" s="35">
        <f t="shared" si="29"/>
        <v>39.59066573217443</v>
      </c>
      <c r="B101">
        <f t="shared" si="15"/>
        <v>0.3959066573217443</v>
      </c>
      <c r="C101">
        <f t="shared" si="16"/>
        <v>-0.40240719535870967</v>
      </c>
      <c r="D101">
        <f t="shared" si="17"/>
        <v>-0.4978596239830193</v>
      </c>
      <c r="E101">
        <f t="shared" si="18"/>
        <v>-0.05894286189443865</v>
      </c>
      <c r="F101">
        <f t="shared" si="19"/>
        <v>0.31779010903971083</v>
      </c>
      <c r="G101">
        <f t="shared" si="20"/>
        <v>0.873086228727482</v>
      </c>
      <c r="H101">
        <f t="shared" si="21"/>
        <v>2.747367535653483</v>
      </c>
      <c r="I101">
        <f t="shared" si="22"/>
        <v>2.173478855904535</v>
      </c>
      <c r="J101">
        <f t="shared" si="23"/>
        <v>3.089348816247996</v>
      </c>
      <c r="K101">
        <f t="shared" si="24"/>
        <v>0.017437740790115567</v>
      </c>
      <c r="L101">
        <f t="shared" si="25"/>
        <v>0.024785731741366935</v>
      </c>
      <c r="M101">
        <f t="shared" si="26"/>
        <v>39.59066573217443</v>
      </c>
      <c r="N101">
        <f t="shared" si="27"/>
        <v>10.845507314214547</v>
      </c>
      <c r="O101">
        <f>Feuil1!$I$16</f>
        <v>1.5</v>
      </c>
      <c r="P101">
        <f t="shared" si="28"/>
        <v>9.237874938496272</v>
      </c>
    </row>
    <row r="102" spans="1:16" ht="12.75">
      <c r="A102" s="35">
        <f t="shared" si="29"/>
        <v>39.98535548143002</v>
      </c>
      <c r="B102">
        <f t="shared" si="15"/>
        <v>0.3998535548143002</v>
      </c>
      <c r="C102">
        <f t="shared" si="16"/>
        <v>-0.3980990386254049</v>
      </c>
      <c r="D102">
        <f t="shared" si="17"/>
        <v>-0.5052696535643035</v>
      </c>
      <c r="E102">
        <f t="shared" si="18"/>
        <v>-0.06441422094573568</v>
      </c>
      <c r="F102">
        <f t="shared" si="19"/>
        <v>0.3124138986031531</v>
      </c>
      <c r="G102">
        <f t="shared" si="20"/>
        <v>0.8621558493709411</v>
      </c>
      <c r="H102">
        <f t="shared" si="21"/>
        <v>2.759659071589844</v>
      </c>
      <c r="I102">
        <f t="shared" si="22"/>
        <v>2.1646116777184226</v>
      </c>
      <c r="J102">
        <f t="shared" si="23"/>
        <v>3.0713209465170803</v>
      </c>
      <c r="K102">
        <f t="shared" si="24"/>
        <v>0.0173665997461946</v>
      </c>
      <c r="L102">
        <f t="shared" si="25"/>
        <v>0.024641094806661237</v>
      </c>
      <c r="M102">
        <f t="shared" si="26"/>
        <v>39.98535548143002</v>
      </c>
      <c r="N102">
        <f t="shared" si="27"/>
        <v>10.792180795089793</v>
      </c>
      <c r="O102">
        <f>Feuil1!$I$16</f>
        <v>1.5</v>
      </c>
      <c r="P102">
        <f t="shared" si="28"/>
        <v>9.199157707001985</v>
      </c>
    </row>
    <row r="103" spans="1:16" ht="12.75">
      <c r="A103" s="35">
        <f t="shared" si="29"/>
        <v>40.38004523068561</v>
      </c>
      <c r="B103">
        <f t="shared" si="15"/>
        <v>0.40380045230685613</v>
      </c>
      <c r="C103">
        <f t="shared" si="16"/>
        <v>-0.3938331989281355</v>
      </c>
      <c r="D103">
        <f t="shared" si="17"/>
        <v>-0.5126068978436069</v>
      </c>
      <c r="E103">
        <f t="shared" si="18"/>
        <v>-0.06983183736126786</v>
      </c>
      <c r="F103">
        <f t="shared" si="19"/>
        <v>0.3071801174822557</v>
      </c>
      <c r="G103">
        <f t="shared" si="20"/>
        <v>0.8514676701422109</v>
      </c>
      <c r="H103">
        <f t="shared" si="21"/>
        <v>2.7718840565629903</v>
      </c>
      <c r="I103">
        <f t="shared" si="22"/>
        <v>2.155979413350471</v>
      </c>
      <c r="J103">
        <f t="shared" si="23"/>
        <v>3.0536925462108346</v>
      </c>
      <c r="K103">
        <f t="shared" si="24"/>
        <v>0.01729734340718253</v>
      </c>
      <c r="L103">
        <f t="shared" si="25"/>
        <v>0.02449966280043324</v>
      </c>
      <c r="M103">
        <f t="shared" si="26"/>
        <v>40.38004523068561</v>
      </c>
      <c r="N103">
        <f t="shared" si="27"/>
        <v>10.738964513405659</v>
      </c>
      <c r="O103">
        <f>Feuil1!$I$16</f>
        <v>1.5</v>
      </c>
      <c r="P103">
        <f t="shared" si="28"/>
        <v>9.16046416814856</v>
      </c>
    </row>
    <row r="104" spans="1:16" ht="12.75">
      <c r="A104" s="35">
        <f t="shared" si="29"/>
        <v>40.7747349799412</v>
      </c>
      <c r="B104">
        <f t="shared" si="15"/>
        <v>0.407747349799412</v>
      </c>
      <c r="C104">
        <f t="shared" si="16"/>
        <v>-0.389608853025226</v>
      </c>
      <c r="D104">
        <f t="shared" si="17"/>
        <v>-0.5198727727966111</v>
      </c>
      <c r="E104">
        <f t="shared" si="18"/>
        <v>-0.07519675665796288</v>
      </c>
      <c r="F104">
        <f t="shared" si="19"/>
        <v>0.3020836549273143</v>
      </c>
      <c r="G104">
        <f t="shared" si="20"/>
        <v>0.8410140347983265</v>
      </c>
      <c r="H104">
        <f t="shared" si="21"/>
        <v>2.784043496165612</v>
      </c>
      <c r="I104">
        <f t="shared" si="22"/>
        <v>2.147573633456474</v>
      </c>
      <c r="J104">
        <f t="shared" si="23"/>
        <v>3.036450987611016</v>
      </c>
      <c r="K104">
        <f t="shared" si="24"/>
        <v>0.017229904144761325</v>
      </c>
      <c r="L104">
        <f t="shared" si="25"/>
        <v>0.024361334410964688</v>
      </c>
      <c r="M104">
        <f t="shared" si="26"/>
        <v>40.7747349799412</v>
      </c>
      <c r="N104">
        <f t="shared" si="27"/>
        <v>10.685872614295677</v>
      </c>
      <c r="O104">
        <f>Feuil1!$I$16</f>
        <v>1.5</v>
      </c>
      <c r="P104">
        <f t="shared" si="28"/>
        <v>9.121804856412867</v>
      </c>
    </row>
    <row r="105" spans="1:16" ht="12.75">
      <c r="A105" s="35">
        <f t="shared" si="29"/>
        <v>41.16942472919679</v>
      </c>
      <c r="B105">
        <f t="shared" si="15"/>
        <v>0.4116942472919679</v>
      </c>
      <c r="C105">
        <f t="shared" si="16"/>
        <v>-0.3854252014669527</v>
      </c>
      <c r="D105">
        <f t="shared" si="17"/>
        <v>-0.5270686534768413</v>
      </c>
      <c r="E105">
        <f t="shared" si="18"/>
        <v>-0.08050999413697002</v>
      </c>
      <c r="F105">
        <f t="shared" si="19"/>
        <v>0.2971196306496214</v>
      </c>
      <c r="G105">
        <f t="shared" si="20"/>
        <v>0.8307876001062358</v>
      </c>
      <c r="H105">
        <f t="shared" si="21"/>
        <v>2.7961383712338512</v>
      </c>
      <c r="I105">
        <f t="shared" si="22"/>
        <v>2.139386288799877</v>
      </c>
      <c r="J105">
        <f t="shared" si="23"/>
        <v>3.019584159257945</v>
      </c>
      <c r="K105">
        <f t="shared" si="24"/>
        <v>0.017164217380202643</v>
      </c>
      <c r="L105">
        <f t="shared" si="25"/>
        <v>0.024226012468460758</v>
      </c>
      <c r="M105">
        <f t="shared" si="26"/>
        <v>41.16942472919679</v>
      </c>
      <c r="N105">
        <f t="shared" si="27"/>
        <v>10.632918368373014</v>
      </c>
      <c r="O105">
        <f>Feuil1!$I$16</f>
        <v>1.5</v>
      </c>
      <c r="P105">
        <f t="shared" si="28"/>
        <v>9.08318972843731</v>
      </c>
    </row>
    <row r="106" spans="1:16" ht="12.75">
      <c r="A106" s="35">
        <f t="shared" si="29"/>
        <v>41.56411447845238</v>
      </c>
      <c r="B106">
        <f t="shared" si="15"/>
        <v>0.4156411447845238</v>
      </c>
      <c r="C106">
        <f t="shared" si="16"/>
        <v>-0.38128146768749077</v>
      </c>
      <c r="D106">
        <f t="shared" si="17"/>
        <v>-0.5341958755775158</v>
      </c>
      <c r="E106">
        <f t="shared" si="18"/>
        <v>-0.08577253603688667</v>
      </c>
      <c r="F106">
        <f t="shared" si="19"/>
        <v>0.2922833823466965</v>
      </c>
      <c r="G106">
        <f t="shared" si="20"/>
        <v>0.8207813201989378</v>
      </c>
      <c r="H106">
        <f t="shared" si="21"/>
        <v>2.808169638687687</v>
      </c>
      <c r="I106">
        <f t="shared" si="22"/>
        <v>2.131409689676689</v>
      </c>
      <c r="J106">
        <f t="shared" si="23"/>
        <v>3.0030804401485165</v>
      </c>
      <c r="K106">
        <f t="shared" si="24"/>
        <v>0.017100221419294653</v>
      </c>
      <c r="L106">
        <f t="shared" si="25"/>
        <v>0.02409360373804165</v>
      </c>
      <c r="M106">
        <f t="shared" si="26"/>
        <v>41.56411447845238</v>
      </c>
      <c r="N106">
        <f t="shared" si="27"/>
        <v>10.580114217877986</v>
      </c>
      <c r="O106">
        <f>Feuil1!$I$16</f>
        <v>1.5</v>
      </c>
      <c r="P106">
        <f t="shared" si="28"/>
        <v>9.04462819208254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3:C4"/>
  <sheetViews>
    <sheetView workbookViewId="0" topLeftCell="A1">
      <selection activeCell="B20" sqref="B20"/>
    </sheetView>
  </sheetViews>
  <sheetFormatPr defaultColWidth="11.421875" defaultRowHeight="12.75"/>
  <sheetData>
    <row r="3" ht="12.75">
      <c r="A3" s="37"/>
    </row>
    <row r="4" spans="1:3" ht="12.75">
      <c r="A4" s="36"/>
      <c r="B4" s="36"/>
      <c r="C4" s="3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 Brière</dc:creator>
  <cp:keywords/>
  <dc:description/>
  <cp:lastModifiedBy>T.BRIERE</cp:lastModifiedBy>
  <dcterms:created xsi:type="dcterms:W3CDTF">2005-03-09T18:22:54Z</dcterms:created>
  <dcterms:modified xsi:type="dcterms:W3CDTF">2007-06-14T10:01:19Z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